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Titles" localSheetId="0">Лист1!$10:$10</definedName>
    <definedName name="_xlnm.Print_Area" localSheetId="0">Лист1!$A$1:$V$239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8" i="1" l="1"/>
  <c r="G237" i="1"/>
  <c r="G238" i="1" s="1"/>
  <c r="F237" i="1"/>
  <c r="I236" i="1"/>
  <c r="K236" i="1" s="1"/>
  <c r="F236" i="1"/>
  <c r="I233" i="1"/>
  <c r="I234" i="1" s="1"/>
  <c r="G233" i="1"/>
  <c r="K232" i="1"/>
  <c r="M232" i="1" s="1"/>
  <c r="I229" i="1"/>
  <c r="G229" i="1"/>
  <c r="G230" i="1" s="1"/>
  <c r="K228" i="1"/>
  <c r="I225" i="1"/>
  <c r="I226" i="1" s="1"/>
  <c r="G225" i="1"/>
  <c r="K224" i="1"/>
  <c r="M224" i="1" s="1"/>
  <c r="I221" i="1"/>
  <c r="G221" i="1"/>
  <c r="G222" i="1" s="1"/>
  <c r="K220" i="1"/>
  <c r="I217" i="1"/>
  <c r="I218" i="1" s="1"/>
  <c r="G217" i="1"/>
  <c r="G218" i="1" s="1"/>
  <c r="K216" i="1"/>
  <c r="I213" i="1"/>
  <c r="I214" i="1" s="1"/>
  <c r="G213" i="1"/>
  <c r="K212" i="1"/>
  <c r="M212" i="1" s="1"/>
  <c r="S211" i="1" s="1"/>
  <c r="I209" i="1"/>
  <c r="I210" i="1" s="1"/>
  <c r="G209" i="1"/>
  <c r="G210" i="1" s="1"/>
  <c r="K208" i="1"/>
  <c r="M208" i="1" s="1"/>
  <c r="V208" i="1" s="1"/>
  <c r="I205" i="1"/>
  <c r="I206" i="1" s="1"/>
  <c r="G205" i="1"/>
  <c r="K204" i="1"/>
  <c r="M204" i="1" s="1"/>
  <c r="F202" i="1"/>
  <c r="F206" i="1" s="1"/>
  <c r="F210" i="1" s="1"/>
  <c r="F214" i="1" s="1"/>
  <c r="F218" i="1" s="1"/>
  <c r="F222" i="1" s="1"/>
  <c r="F226" i="1" s="1"/>
  <c r="F230" i="1" s="1"/>
  <c r="F234" i="1" s="1"/>
  <c r="I201" i="1"/>
  <c r="K201" i="1" s="1"/>
  <c r="M201" i="1" s="1"/>
  <c r="T199" i="1" s="1"/>
  <c r="F201" i="1"/>
  <c r="F205" i="1" s="1"/>
  <c r="F209" i="1" s="1"/>
  <c r="F213" i="1" s="1"/>
  <c r="F217" i="1" s="1"/>
  <c r="F221" i="1" s="1"/>
  <c r="F225" i="1" s="1"/>
  <c r="F229" i="1" s="1"/>
  <c r="F233" i="1" s="1"/>
  <c r="K200" i="1"/>
  <c r="F200" i="1"/>
  <c r="F204" i="1" s="1"/>
  <c r="F208" i="1" s="1"/>
  <c r="F212" i="1" s="1"/>
  <c r="F216" i="1" s="1"/>
  <c r="F220" i="1" s="1"/>
  <c r="F224" i="1" s="1"/>
  <c r="F228" i="1" s="1"/>
  <c r="F232" i="1" s="1"/>
  <c r="F198" i="1"/>
  <c r="G197" i="1"/>
  <c r="F197" i="1"/>
  <c r="I196" i="1"/>
  <c r="K196" i="1" s="1"/>
  <c r="M196" i="1" s="1"/>
  <c r="S195" i="1" s="1"/>
  <c r="F196" i="1"/>
  <c r="F194" i="1"/>
  <c r="I193" i="1"/>
  <c r="I194" i="1" s="1"/>
  <c r="G193" i="1"/>
  <c r="G194" i="1" s="1"/>
  <c r="F193" i="1"/>
  <c r="K192" i="1"/>
  <c r="F192" i="1"/>
  <c r="F190" i="1"/>
  <c r="I189" i="1"/>
  <c r="K189" i="1" s="1"/>
  <c r="M189" i="1" s="1"/>
  <c r="T187" i="1" s="1"/>
  <c r="F189" i="1"/>
  <c r="K188" i="1"/>
  <c r="F188" i="1"/>
  <c r="F186" i="1"/>
  <c r="I185" i="1"/>
  <c r="I186" i="1" s="1"/>
  <c r="F185" i="1"/>
  <c r="K184" i="1"/>
  <c r="F184" i="1"/>
  <c r="F182" i="1"/>
  <c r="I181" i="1"/>
  <c r="F181" i="1"/>
  <c r="I180" i="1"/>
  <c r="K180" i="1" s="1"/>
  <c r="F180" i="1"/>
  <c r="F178" i="1"/>
  <c r="F177" i="1"/>
  <c r="I176" i="1"/>
  <c r="I177" i="1" s="1"/>
  <c r="F176" i="1"/>
  <c r="F173" i="1"/>
  <c r="F172" i="1"/>
  <c r="I171" i="1"/>
  <c r="I172" i="1" s="1"/>
  <c r="I173" i="1" s="1"/>
  <c r="F171" i="1"/>
  <c r="F169" i="1"/>
  <c r="F168" i="1"/>
  <c r="I167" i="1"/>
  <c r="K167" i="1" s="1"/>
  <c r="M167" i="1" s="1"/>
  <c r="S166" i="1" s="1"/>
  <c r="F167" i="1"/>
  <c r="K165" i="1"/>
  <c r="M165" i="1" s="1"/>
  <c r="F165" i="1"/>
  <c r="K164" i="1"/>
  <c r="M164" i="1" s="1"/>
  <c r="T162" i="1" s="1"/>
  <c r="F164" i="1"/>
  <c r="K163" i="1"/>
  <c r="F163" i="1"/>
  <c r="F161" i="1"/>
  <c r="F160" i="1"/>
  <c r="I159" i="1"/>
  <c r="I160" i="1" s="1"/>
  <c r="F159" i="1"/>
  <c r="F156" i="1"/>
  <c r="F155" i="1"/>
  <c r="I154" i="1"/>
  <c r="K154" i="1" s="1"/>
  <c r="F154" i="1"/>
  <c r="F152" i="1"/>
  <c r="F151" i="1"/>
  <c r="I150" i="1"/>
  <c r="K150" i="1" s="1"/>
  <c r="M150" i="1" s="1"/>
  <c r="S149" i="1" s="1"/>
  <c r="F150" i="1"/>
  <c r="O148" i="1"/>
  <c r="Q148" i="1" s="1"/>
  <c r="F148" i="1"/>
  <c r="O147" i="1"/>
  <c r="Q147" i="1" s="1"/>
  <c r="T145" i="1" s="1"/>
  <c r="F147" i="1"/>
  <c r="O146" i="1"/>
  <c r="Q146" i="1" s="1"/>
  <c r="S145" i="1" s="1"/>
  <c r="F146" i="1"/>
  <c r="F143" i="1"/>
  <c r="I142" i="1"/>
  <c r="I143" i="1" s="1"/>
  <c r="G142" i="1"/>
  <c r="F142" i="1"/>
  <c r="K141" i="1"/>
  <c r="K142" i="1" s="1"/>
  <c r="K143" i="1" s="1"/>
  <c r="F141" i="1"/>
  <c r="F139" i="1"/>
  <c r="K138" i="1"/>
  <c r="F138" i="1"/>
  <c r="M137" i="1"/>
  <c r="F137" i="1"/>
  <c r="F135" i="1"/>
  <c r="F134" i="1"/>
  <c r="I133" i="1"/>
  <c r="I134" i="1" s="1"/>
  <c r="F133" i="1"/>
  <c r="F131" i="1"/>
  <c r="F130" i="1"/>
  <c r="I129" i="1"/>
  <c r="I130" i="1" s="1"/>
  <c r="F129" i="1"/>
  <c r="F127" i="1"/>
  <c r="F126" i="1"/>
  <c r="I125" i="1"/>
  <c r="I126" i="1" s="1"/>
  <c r="I127" i="1" s="1"/>
  <c r="F125" i="1"/>
  <c r="F123" i="1"/>
  <c r="F122" i="1"/>
  <c r="I121" i="1"/>
  <c r="I122" i="1" s="1"/>
  <c r="K122" i="1" s="1"/>
  <c r="M122" i="1" s="1"/>
  <c r="T120" i="1" s="1"/>
  <c r="F121" i="1"/>
  <c r="F119" i="1"/>
  <c r="F118" i="1"/>
  <c r="I117" i="1"/>
  <c r="K117" i="1" s="1"/>
  <c r="M117" i="1" s="1"/>
  <c r="S116" i="1" s="1"/>
  <c r="F117" i="1"/>
  <c r="H115" i="1"/>
  <c r="F115" i="1"/>
  <c r="H114" i="1"/>
  <c r="F114" i="1"/>
  <c r="K113" i="1"/>
  <c r="M113" i="1" s="1"/>
  <c r="O113" i="1" s="1"/>
  <c r="S112" i="1" s="1"/>
  <c r="F113" i="1"/>
  <c r="G111" i="1"/>
  <c r="F111" i="1"/>
  <c r="F110" i="1"/>
  <c r="I109" i="1"/>
  <c r="I110" i="1" s="1"/>
  <c r="I111" i="1" s="1"/>
  <c r="F109" i="1"/>
  <c r="F107" i="1"/>
  <c r="F106" i="1"/>
  <c r="I105" i="1"/>
  <c r="F105" i="1"/>
  <c r="F103" i="1"/>
  <c r="F102" i="1"/>
  <c r="I101" i="1"/>
  <c r="K101" i="1" s="1"/>
  <c r="F101" i="1"/>
  <c r="F99" i="1"/>
  <c r="F98" i="1"/>
  <c r="K97" i="1"/>
  <c r="M97" i="1" s="1"/>
  <c r="O97" i="1" s="1"/>
  <c r="S96" i="1" s="1"/>
  <c r="F97" i="1"/>
  <c r="F95" i="1"/>
  <c r="F94" i="1"/>
  <c r="K93" i="1"/>
  <c r="M93" i="1" s="1"/>
  <c r="F93" i="1"/>
  <c r="M91" i="1"/>
  <c r="F91" i="1"/>
  <c r="M90" i="1"/>
  <c r="F90" i="1"/>
  <c r="M89" i="1"/>
  <c r="F89" i="1"/>
  <c r="F86" i="1"/>
  <c r="I85" i="1"/>
  <c r="I86" i="1" s="1"/>
  <c r="K86" i="1" s="1"/>
  <c r="M86" i="1" s="1"/>
  <c r="U83" i="1" s="1"/>
  <c r="F85" i="1"/>
  <c r="K84" i="1"/>
  <c r="M84" i="1" s="1"/>
  <c r="S83" i="1" s="1"/>
  <c r="F84" i="1"/>
  <c r="F82" i="1"/>
  <c r="I81" i="1"/>
  <c r="I82" i="1" s="1"/>
  <c r="K82" i="1" s="1"/>
  <c r="F81" i="1"/>
  <c r="K80" i="1"/>
  <c r="F80" i="1"/>
  <c r="F78" i="1"/>
  <c r="F77" i="1"/>
  <c r="K76" i="1"/>
  <c r="M76" i="1" s="1"/>
  <c r="O76" i="1" s="1"/>
  <c r="S75" i="1" s="1"/>
  <c r="F76" i="1"/>
  <c r="F74" i="1"/>
  <c r="F73" i="1"/>
  <c r="K72" i="1"/>
  <c r="F72" i="1"/>
  <c r="K69" i="1"/>
  <c r="K70" i="1" s="1"/>
  <c r="G69" i="1"/>
  <c r="M68" i="1"/>
  <c r="K65" i="1"/>
  <c r="M65" i="1" s="1"/>
  <c r="M64" i="1"/>
  <c r="F62" i="1"/>
  <c r="F70" i="1" s="1"/>
  <c r="F61" i="1"/>
  <c r="K60" i="1"/>
  <c r="M60" i="1" s="1"/>
  <c r="O60" i="1" s="1"/>
  <c r="S59" i="1" s="1"/>
  <c r="F60" i="1"/>
  <c r="F68" i="1" s="1"/>
  <c r="K56" i="1"/>
  <c r="K57" i="1" s="1"/>
  <c r="K58" i="1" s="1"/>
  <c r="F54" i="1"/>
  <c r="F53" i="1"/>
  <c r="K52" i="1"/>
  <c r="M52" i="1" s="1"/>
  <c r="O52" i="1" s="1"/>
  <c r="S51" i="1" s="1"/>
  <c r="F52" i="1"/>
  <c r="F50" i="1"/>
  <c r="F58" i="1" s="1"/>
  <c r="F49" i="1"/>
  <c r="F57" i="1" s="1"/>
  <c r="K48" i="1"/>
  <c r="F48" i="1"/>
  <c r="F56" i="1" s="1"/>
  <c r="F46" i="1"/>
  <c r="F45" i="1"/>
  <c r="I44" i="1"/>
  <c r="K44" i="1" s="1"/>
  <c r="M44" i="1" s="1"/>
  <c r="S43" i="1" s="1"/>
  <c r="F44" i="1"/>
  <c r="F42" i="1"/>
  <c r="F41" i="1"/>
  <c r="I40" i="1"/>
  <c r="I41" i="1" s="1"/>
  <c r="F40" i="1"/>
  <c r="F38" i="1"/>
  <c r="F37" i="1"/>
  <c r="K36" i="1"/>
  <c r="M36" i="1" s="1"/>
  <c r="O36" i="1" s="1"/>
  <c r="S35" i="1" s="1"/>
  <c r="F36" i="1"/>
  <c r="F34" i="1"/>
  <c r="F33" i="1"/>
  <c r="K32" i="1"/>
  <c r="M32" i="1" s="1"/>
  <c r="O32" i="1" s="1"/>
  <c r="S31" i="1" s="1"/>
  <c r="F32" i="1"/>
  <c r="F29" i="1"/>
  <c r="F28" i="1"/>
  <c r="I27" i="1"/>
  <c r="K27" i="1" s="1"/>
  <c r="F27" i="1"/>
  <c r="F23" i="1"/>
  <c r="O22" i="1"/>
  <c r="I23" i="1" s="1"/>
  <c r="K23" i="1" s="1"/>
  <c r="M23" i="1" s="1"/>
  <c r="U17" i="1" s="1"/>
  <c r="F21" i="1"/>
  <c r="O20" i="1"/>
  <c r="I21" i="1" s="1"/>
  <c r="K21" i="1" s="1"/>
  <c r="F19" i="1"/>
  <c r="V18" i="1"/>
  <c r="O18" i="1"/>
  <c r="I19" i="1" s="1"/>
  <c r="K19" i="1" s="1"/>
  <c r="M19" i="1" s="1"/>
  <c r="S17" i="1" s="1"/>
  <c r="I15" i="1"/>
  <c r="K15" i="1" s="1"/>
  <c r="M15" i="1" s="1"/>
  <c r="T13" i="1" s="1"/>
  <c r="K14" i="1"/>
  <c r="M14" i="1" s="1"/>
  <c r="V14" i="1" s="1"/>
  <c r="K33" i="1" l="1"/>
  <c r="K34" i="1" s="1"/>
  <c r="F64" i="1"/>
  <c r="U145" i="1"/>
  <c r="V148" i="1"/>
  <c r="K133" i="1"/>
  <c r="M133" i="1" s="1"/>
  <c r="S132" i="1" s="1"/>
  <c r="K185" i="1"/>
  <c r="K221" i="1"/>
  <c r="M221" i="1" s="1"/>
  <c r="K160" i="1"/>
  <c r="M160" i="1" s="1"/>
  <c r="T158" i="1" s="1"/>
  <c r="I161" i="1"/>
  <c r="K161" i="1" s="1"/>
  <c r="M161" i="1" s="1"/>
  <c r="U158" i="1" s="1"/>
  <c r="V163" i="1"/>
  <c r="S231" i="1"/>
  <c r="V232" i="1"/>
  <c r="S203" i="1"/>
  <c r="V204" i="1"/>
  <c r="K130" i="1"/>
  <c r="M130" i="1" s="1"/>
  <c r="T128" i="1" s="1"/>
  <c r="I131" i="1"/>
  <c r="I102" i="1"/>
  <c r="I103" i="1" s="1"/>
  <c r="K103" i="1" s="1"/>
  <c r="M103" i="1" s="1"/>
  <c r="U100" i="1" s="1"/>
  <c r="M163" i="1"/>
  <c r="S162" i="1" s="1"/>
  <c r="K171" i="1"/>
  <c r="M171" i="1" s="1"/>
  <c r="S170" i="1" s="1"/>
  <c r="I197" i="1"/>
  <c r="I198" i="1" s="1"/>
  <c r="K229" i="1"/>
  <c r="V76" i="1"/>
  <c r="K217" i="1"/>
  <c r="M217" i="1" s="1"/>
  <c r="K66" i="1"/>
  <c r="M66" i="1" s="1"/>
  <c r="O66" i="1" s="1"/>
  <c r="K77" i="1"/>
  <c r="K109" i="1"/>
  <c r="M109" i="1" s="1"/>
  <c r="S108" i="1" s="1"/>
  <c r="O91" i="1"/>
  <c r="U88" i="1" s="1"/>
  <c r="I118" i="1"/>
  <c r="I119" i="1" s="1"/>
  <c r="K177" i="1"/>
  <c r="M177" i="1" s="1"/>
  <c r="T175" i="1" s="1"/>
  <c r="I178" i="1"/>
  <c r="K178" i="1" s="1"/>
  <c r="M178" i="1" s="1"/>
  <c r="U175" i="1" s="1"/>
  <c r="V165" i="1"/>
  <c r="U162" i="1"/>
  <c r="V221" i="1"/>
  <c r="T219" i="1"/>
  <c r="M21" i="1"/>
  <c r="T17" i="1" s="1"/>
  <c r="T12" i="1" s="1"/>
  <c r="T11" i="1" s="1"/>
  <c r="V52" i="1"/>
  <c r="K81" i="1"/>
  <c r="M81" i="1" s="1"/>
  <c r="T79" i="1" s="1"/>
  <c r="K209" i="1"/>
  <c r="M209" i="1" s="1"/>
  <c r="T207" i="1" s="1"/>
  <c r="M216" i="1"/>
  <c r="S215" i="1" s="1"/>
  <c r="I222" i="1"/>
  <c r="V86" i="1"/>
  <c r="K94" i="1"/>
  <c r="K95" i="1" s="1"/>
  <c r="M95" i="1" s="1"/>
  <c r="O95" i="1" s="1"/>
  <c r="U92" i="1" s="1"/>
  <c r="K125" i="1"/>
  <c r="M125" i="1" s="1"/>
  <c r="S124" i="1" s="1"/>
  <c r="I155" i="1"/>
  <c r="I202" i="1"/>
  <c r="K202" i="1" s="1"/>
  <c r="M202" i="1" s="1"/>
  <c r="U199" i="1" s="1"/>
  <c r="M57" i="1"/>
  <c r="O57" i="1" s="1"/>
  <c r="T55" i="1" s="1"/>
  <c r="F66" i="1"/>
  <c r="I28" i="1"/>
  <c r="I123" i="1"/>
  <c r="K123" i="1" s="1"/>
  <c r="M123" i="1" s="1"/>
  <c r="U120" i="1" s="1"/>
  <c r="K193" i="1"/>
  <c r="M193" i="1" s="1"/>
  <c r="T191" i="1" s="1"/>
  <c r="I237" i="1"/>
  <c r="I238" i="1" s="1"/>
  <c r="S207" i="1"/>
  <c r="I230" i="1"/>
  <c r="K230" i="1" s="1"/>
  <c r="M230" i="1" s="1"/>
  <c r="U227" i="1" s="1"/>
  <c r="K85" i="1"/>
  <c r="M85" i="1" s="1"/>
  <c r="T83" i="1" s="1"/>
  <c r="V146" i="1"/>
  <c r="M180" i="1"/>
  <c r="S179" i="1" s="1"/>
  <c r="M200" i="1"/>
  <c r="S199" i="1" s="1"/>
  <c r="K41" i="1"/>
  <c r="M41" i="1" s="1"/>
  <c r="T39" i="1" s="1"/>
  <c r="I42" i="1"/>
  <c r="M34" i="1"/>
  <c r="O34" i="1" s="1"/>
  <c r="U31" i="1" s="1"/>
  <c r="M58" i="1"/>
  <c r="O58" i="1" s="1"/>
  <c r="U55" i="1" s="1"/>
  <c r="T215" i="1"/>
  <c r="V217" i="1"/>
  <c r="M72" i="1"/>
  <c r="O72" i="1" s="1"/>
  <c r="S71" i="1" s="1"/>
  <c r="M138" i="1"/>
  <c r="O138" i="1" s="1"/>
  <c r="T136" i="1" s="1"/>
  <c r="V44" i="1"/>
  <c r="V196" i="1"/>
  <c r="K78" i="1"/>
  <c r="V133" i="1"/>
  <c r="K218" i="1"/>
  <c r="M218" i="1" s="1"/>
  <c r="U215" i="1" s="1"/>
  <c r="V32" i="1"/>
  <c r="V36" i="1"/>
  <c r="K40" i="1"/>
  <c r="M40" i="1" s="1"/>
  <c r="S39" i="1" s="1"/>
  <c r="O68" i="1"/>
  <c r="S67" i="1" s="1"/>
  <c r="K73" i="1"/>
  <c r="K139" i="1"/>
  <c r="K173" i="1"/>
  <c r="M173" i="1" s="1"/>
  <c r="U170" i="1" s="1"/>
  <c r="V177" i="1"/>
  <c r="V212" i="1"/>
  <c r="K134" i="1"/>
  <c r="M134" i="1" s="1"/>
  <c r="T132" i="1" s="1"/>
  <c r="K172" i="1"/>
  <c r="G198" i="1"/>
  <c r="K197" i="1"/>
  <c r="M197" i="1" s="1"/>
  <c r="T195" i="1" s="1"/>
  <c r="V201" i="1"/>
  <c r="M229" i="1"/>
  <c r="T227" i="1" s="1"/>
  <c r="K37" i="1"/>
  <c r="O64" i="1"/>
  <c r="S63" i="1" s="1"/>
  <c r="M82" i="1"/>
  <c r="U79" i="1" s="1"/>
  <c r="V103" i="1"/>
  <c r="V130" i="1"/>
  <c r="V178" i="1"/>
  <c r="K222" i="1"/>
  <c r="M222" i="1" s="1"/>
  <c r="U219" i="1" s="1"/>
  <c r="M236" i="1"/>
  <c r="S235" i="1" s="1"/>
  <c r="O90" i="1"/>
  <c r="T88" i="1" s="1"/>
  <c r="I182" i="1"/>
  <c r="K181" i="1"/>
  <c r="M181" i="1" s="1"/>
  <c r="T179" i="1" s="1"/>
  <c r="V22" i="1"/>
  <c r="V81" i="1"/>
  <c r="K53" i="1"/>
  <c r="M77" i="1"/>
  <c r="O77" i="1" s="1"/>
  <c r="T75" i="1" s="1"/>
  <c r="M33" i="1"/>
  <c r="O33" i="1" s="1"/>
  <c r="T31" i="1" s="1"/>
  <c r="V60" i="1"/>
  <c r="I106" i="1"/>
  <c r="K126" i="1"/>
  <c r="M126" i="1" s="1"/>
  <c r="T124" i="1" s="1"/>
  <c r="S223" i="1"/>
  <c r="V224" i="1"/>
  <c r="K238" i="1"/>
  <c r="M238" i="1" s="1"/>
  <c r="U235" i="1" s="1"/>
  <c r="M192" i="1"/>
  <c r="S191" i="1" s="1"/>
  <c r="V40" i="1"/>
  <c r="I45" i="1"/>
  <c r="K49" i="1"/>
  <c r="G70" i="1"/>
  <c r="V113" i="1"/>
  <c r="I151" i="1"/>
  <c r="V150" i="1"/>
  <c r="V164" i="1"/>
  <c r="V189" i="1"/>
  <c r="I190" i="1"/>
  <c r="S13" i="1"/>
  <c r="S12" i="1" s="1"/>
  <c r="S11" i="1" s="1"/>
  <c r="F65" i="1"/>
  <c r="F69" i="1"/>
  <c r="O65" i="1"/>
  <c r="T63" i="1" s="1"/>
  <c r="V84" i="1"/>
  <c r="V97" i="1"/>
  <c r="K98" i="1"/>
  <c r="K105" i="1"/>
  <c r="M105" i="1" s="1"/>
  <c r="S104" i="1" s="1"/>
  <c r="V117" i="1"/>
  <c r="V122" i="1"/>
  <c r="K131" i="1"/>
  <c r="M131" i="1" s="1"/>
  <c r="U128" i="1" s="1"/>
  <c r="V160" i="1"/>
  <c r="G226" i="1"/>
  <c r="M27" i="1"/>
  <c r="S26" i="1" s="1"/>
  <c r="S25" i="1" s="1"/>
  <c r="M94" i="1"/>
  <c r="O94" i="1" s="1"/>
  <c r="T92" i="1" s="1"/>
  <c r="I168" i="1"/>
  <c r="V167" i="1"/>
  <c r="K186" i="1"/>
  <c r="M186" i="1" s="1"/>
  <c r="U183" i="1" s="1"/>
  <c r="M48" i="1"/>
  <c r="O48" i="1" s="1"/>
  <c r="S47" i="1" s="1"/>
  <c r="M69" i="1"/>
  <c r="O69" i="1" s="1"/>
  <c r="T67" i="1" s="1"/>
  <c r="I135" i="1"/>
  <c r="V209" i="1"/>
  <c r="M154" i="1"/>
  <c r="S153" i="1" s="1"/>
  <c r="S144" i="1" s="1"/>
  <c r="K61" i="1"/>
  <c r="M80" i="1"/>
  <c r="S79" i="1" s="1"/>
  <c r="K111" i="1"/>
  <c r="M111" i="1" s="1"/>
  <c r="U108" i="1" s="1"/>
  <c r="K127" i="1"/>
  <c r="M127" i="1" s="1"/>
  <c r="U124" i="1" s="1"/>
  <c r="M56" i="1"/>
  <c r="O56" i="1" s="1"/>
  <c r="S55" i="1" s="1"/>
  <c r="O93" i="1"/>
  <c r="S92" i="1" s="1"/>
  <c r="M101" i="1"/>
  <c r="S100" i="1" s="1"/>
  <c r="K110" i="1"/>
  <c r="K114" i="1"/>
  <c r="K118" i="1"/>
  <c r="M118" i="1" s="1"/>
  <c r="T116" i="1" s="1"/>
  <c r="V123" i="1"/>
  <c r="M142" i="1"/>
  <c r="O142" i="1" s="1"/>
  <c r="T140" i="1" s="1"/>
  <c r="G143" i="1"/>
  <c r="V161" i="1"/>
  <c r="K194" i="1"/>
  <c r="M194" i="1" s="1"/>
  <c r="U191" i="1" s="1"/>
  <c r="M220" i="1"/>
  <c r="S219" i="1" s="1"/>
  <c r="K225" i="1"/>
  <c r="M225" i="1" s="1"/>
  <c r="T223" i="1" s="1"/>
  <c r="I16" i="1"/>
  <c r="V15" i="1"/>
  <c r="V147" i="1"/>
  <c r="K210" i="1"/>
  <c r="M210" i="1" s="1"/>
  <c r="U207" i="1" s="1"/>
  <c r="G206" i="1"/>
  <c r="K205" i="1"/>
  <c r="M205" i="1" s="1"/>
  <c r="T203" i="1" s="1"/>
  <c r="G234" i="1"/>
  <c r="K233" i="1"/>
  <c r="M233" i="1" s="1"/>
  <c r="T231" i="1" s="1"/>
  <c r="M141" i="1"/>
  <c r="M185" i="1"/>
  <c r="T183" i="1" s="1"/>
  <c r="M188" i="1"/>
  <c r="S187" i="1" s="1"/>
  <c r="V193" i="1"/>
  <c r="G214" i="1"/>
  <c r="O89" i="1"/>
  <c r="S88" i="1" s="1"/>
  <c r="K121" i="1"/>
  <c r="M121" i="1" s="1"/>
  <c r="S120" i="1" s="1"/>
  <c r="K129" i="1"/>
  <c r="M129" i="1" s="1"/>
  <c r="S128" i="1" s="1"/>
  <c r="O137" i="1"/>
  <c r="S136" i="1" s="1"/>
  <c r="K159" i="1"/>
  <c r="M159" i="1" s="1"/>
  <c r="S158" i="1" s="1"/>
  <c r="K176" i="1"/>
  <c r="M176" i="1" s="1"/>
  <c r="S175" i="1" s="1"/>
  <c r="M184" i="1"/>
  <c r="S183" i="1" s="1"/>
  <c r="M228" i="1"/>
  <c r="S227" i="1" s="1"/>
  <c r="K213" i="1"/>
  <c r="M213" i="1" s="1"/>
  <c r="T211" i="1" s="1"/>
  <c r="V33" i="1" l="1"/>
  <c r="K102" i="1"/>
  <c r="M102" i="1" s="1"/>
  <c r="T100" i="1" s="1"/>
  <c r="V57" i="1"/>
  <c r="V119" i="1"/>
  <c r="K119" i="1"/>
  <c r="M119" i="1" s="1"/>
  <c r="U116" i="1" s="1"/>
  <c r="V216" i="1"/>
  <c r="V205" i="1"/>
  <c r="V142" i="1"/>
  <c r="V218" i="1"/>
  <c r="T174" i="1"/>
  <c r="V91" i="1"/>
  <c r="U63" i="1"/>
  <c r="V66" i="1"/>
  <c r="V154" i="1"/>
  <c r="V20" i="1"/>
  <c r="V171" i="1"/>
  <c r="V102" i="1"/>
  <c r="V180" i="1"/>
  <c r="V222" i="1"/>
  <c r="V197" i="1"/>
  <c r="V200" i="1"/>
  <c r="V127" i="1"/>
  <c r="V95" i="1"/>
  <c r="V68" i="1"/>
  <c r="V210" i="1"/>
  <c r="K237" i="1"/>
  <c r="M237" i="1" s="1"/>
  <c r="I156" i="1"/>
  <c r="K156" i="1" s="1"/>
  <c r="M156" i="1" s="1"/>
  <c r="U153" i="1" s="1"/>
  <c r="K155" i="1"/>
  <c r="V118" i="1"/>
  <c r="V109" i="1"/>
  <c r="V85" i="1"/>
  <c r="V58" i="1"/>
  <c r="V129" i="1"/>
  <c r="V225" i="1"/>
  <c r="V69" i="1"/>
  <c r="V105" i="1"/>
  <c r="V65" i="1"/>
  <c r="V125" i="1"/>
  <c r="V89" i="1"/>
  <c r="S30" i="1"/>
  <c r="K28" i="1"/>
  <c r="I29" i="1"/>
  <c r="K29" i="1" s="1"/>
  <c r="M29" i="1" s="1"/>
  <c r="U26" i="1" s="1"/>
  <c r="U25" i="1" s="1"/>
  <c r="V202" i="1"/>
  <c r="V138" i="1"/>
  <c r="V64" i="1"/>
  <c r="V134" i="1"/>
  <c r="V230" i="1"/>
  <c r="V72" i="1"/>
  <c r="V34" i="1"/>
  <c r="K168" i="1"/>
  <c r="M168" i="1" s="1"/>
  <c r="T166" i="1" s="1"/>
  <c r="I169" i="1"/>
  <c r="K106" i="1"/>
  <c r="M106" i="1" s="1"/>
  <c r="T104" i="1" s="1"/>
  <c r="I107" i="1"/>
  <c r="V106" i="1"/>
  <c r="V94" i="1"/>
  <c r="V185" i="1"/>
  <c r="V236" i="1"/>
  <c r="K198" i="1"/>
  <c r="M198" i="1" s="1"/>
  <c r="U195" i="1" s="1"/>
  <c r="K74" i="1"/>
  <c r="M73" i="1"/>
  <c r="O73" i="1" s="1"/>
  <c r="T71" i="1" s="1"/>
  <c r="V192" i="1"/>
  <c r="K62" i="1"/>
  <c r="M61" i="1"/>
  <c r="O61" i="1" s="1"/>
  <c r="T59" i="1" s="1"/>
  <c r="K206" i="1"/>
  <c r="M206" i="1" s="1"/>
  <c r="U203" i="1" s="1"/>
  <c r="K190" i="1"/>
  <c r="M190" i="1" s="1"/>
  <c r="U187" i="1" s="1"/>
  <c r="M143" i="1"/>
  <c r="O143" i="1" s="1"/>
  <c r="U140" i="1" s="1"/>
  <c r="V143" i="1"/>
  <c r="V56" i="1"/>
  <c r="M98" i="1"/>
  <c r="O98" i="1" s="1"/>
  <c r="T96" i="1" s="1"/>
  <c r="K99" i="1"/>
  <c r="V238" i="1"/>
  <c r="V188" i="1"/>
  <c r="V77" i="1"/>
  <c r="V82" i="1"/>
  <c r="M139" i="1"/>
  <c r="O139" i="1" s="1"/>
  <c r="U136" i="1" s="1"/>
  <c r="K214" i="1"/>
  <c r="M214" i="1" s="1"/>
  <c r="U211" i="1" s="1"/>
  <c r="V213" i="1"/>
  <c r="K38" i="1"/>
  <c r="M37" i="1"/>
  <c r="O37" i="1" s="1"/>
  <c r="T35" i="1" s="1"/>
  <c r="M172" i="1"/>
  <c r="T170" i="1" s="1"/>
  <c r="M78" i="1"/>
  <c r="O78" i="1" s="1"/>
  <c r="U75" i="1" s="1"/>
  <c r="V27" i="1"/>
  <c r="I46" i="1"/>
  <c r="K45" i="1"/>
  <c r="M45" i="1" s="1"/>
  <c r="T43" i="1" s="1"/>
  <c r="V48" i="1"/>
  <c r="K182" i="1"/>
  <c r="M182" i="1" s="1"/>
  <c r="U179" i="1" s="1"/>
  <c r="K54" i="1"/>
  <c r="M53" i="1"/>
  <c r="O53" i="1" s="1"/>
  <c r="T51" i="1" s="1"/>
  <c r="V137" i="1"/>
  <c r="V111" i="1"/>
  <c r="V220" i="1"/>
  <c r="K226" i="1"/>
  <c r="M226" i="1" s="1"/>
  <c r="U223" i="1" s="1"/>
  <c r="K151" i="1"/>
  <c r="M151" i="1" s="1"/>
  <c r="T149" i="1" s="1"/>
  <c r="I152" i="1"/>
  <c r="V184" i="1"/>
  <c r="V176" i="1"/>
  <c r="V159" i="1"/>
  <c r="V186" i="1"/>
  <c r="V194" i="1"/>
  <c r="V131" i="1"/>
  <c r="V90" i="1"/>
  <c r="V228" i="1"/>
  <c r="V101" i="1"/>
  <c r="K135" i="1"/>
  <c r="M135" i="1" s="1"/>
  <c r="U132" i="1" s="1"/>
  <c r="K42" i="1"/>
  <c r="M42" i="1" s="1"/>
  <c r="U39" i="1" s="1"/>
  <c r="K234" i="1"/>
  <c r="M234" i="1" s="1"/>
  <c r="U231" i="1" s="1"/>
  <c r="O141" i="1"/>
  <c r="S140" i="1" s="1"/>
  <c r="S87" i="1" s="1"/>
  <c r="V141" i="1"/>
  <c r="M70" i="1"/>
  <c r="O70" i="1" s="1"/>
  <c r="U67" i="1" s="1"/>
  <c r="V126" i="1"/>
  <c r="V229" i="1"/>
  <c r="K16" i="1"/>
  <c r="M16" i="1" s="1"/>
  <c r="U13" i="1" s="1"/>
  <c r="U12" i="1" s="1"/>
  <c r="U11" i="1" s="1"/>
  <c r="M114" i="1"/>
  <c r="O114" i="1" s="1"/>
  <c r="T112" i="1" s="1"/>
  <c r="K115" i="1"/>
  <c r="V93" i="1"/>
  <c r="S174" i="1"/>
  <c r="S157" i="1" s="1"/>
  <c r="V233" i="1"/>
  <c r="M110" i="1"/>
  <c r="T108" i="1" s="1"/>
  <c r="V80" i="1"/>
  <c r="V156" i="1"/>
  <c r="K50" i="1"/>
  <c r="M49" i="1"/>
  <c r="O49" i="1" s="1"/>
  <c r="T47" i="1" s="1"/>
  <c r="V181" i="1"/>
  <c r="V121" i="1"/>
  <c r="V173" i="1"/>
  <c r="V41" i="1"/>
  <c r="V29" i="1" l="1"/>
  <c r="V226" i="1"/>
  <c r="V198" i="1"/>
  <c r="T30" i="1"/>
  <c r="V49" i="1"/>
  <c r="V61" i="1"/>
  <c r="V234" i="1"/>
  <c r="V45" i="1"/>
  <c r="M28" i="1"/>
  <c r="T26" i="1" s="1"/>
  <c r="T25" i="1" s="1"/>
  <c r="V168" i="1"/>
  <c r="M155" i="1"/>
  <c r="T153" i="1" s="1"/>
  <c r="T144" i="1" s="1"/>
  <c r="V70" i="1"/>
  <c r="S24" i="1"/>
  <c r="T87" i="1"/>
  <c r="V237" i="1"/>
  <c r="T235" i="1"/>
  <c r="T157" i="1" s="1"/>
  <c r="V16" i="1"/>
  <c r="V135" i="1"/>
  <c r="V214" i="1"/>
  <c r="M62" i="1"/>
  <c r="O62" i="1" s="1"/>
  <c r="U59" i="1" s="1"/>
  <c r="K46" i="1"/>
  <c r="M46" i="1" s="1"/>
  <c r="U43" i="1" s="1"/>
  <c r="K107" i="1"/>
  <c r="M107" i="1" s="1"/>
  <c r="U104" i="1" s="1"/>
  <c r="V110" i="1"/>
  <c r="V139" i="1"/>
  <c r="M74" i="1"/>
  <c r="O74" i="1" s="1"/>
  <c r="U71" i="1" s="1"/>
  <c r="V78" i="1"/>
  <c r="V190" i="1"/>
  <c r="V73" i="1"/>
  <c r="K169" i="1"/>
  <c r="M169" i="1" s="1"/>
  <c r="U166" i="1" s="1"/>
  <c r="V53" i="1"/>
  <c r="V172" i="1"/>
  <c r="M50" i="1"/>
  <c r="O50" i="1" s="1"/>
  <c r="U47" i="1" s="1"/>
  <c r="K152" i="1"/>
  <c r="M152" i="1" s="1"/>
  <c r="U149" i="1" s="1"/>
  <c r="U144" i="1" s="1"/>
  <c r="V152" i="1"/>
  <c r="M115" i="1"/>
  <c r="O115" i="1" s="1"/>
  <c r="U112" i="1" s="1"/>
  <c r="M54" i="1"/>
  <c r="O54" i="1" s="1"/>
  <c r="U51" i="1" s="1"/>
  <c r="U174" i="1"/>
  <c r="V37" i="1"/>
  <c r="V98" i="1"/>
  <c r="V206" i="1"/>
  <c r="V114" i="1"/>
  <c r="V42" i="1"/>
  <c r="V151" i="1"/>
  <c r="V182" i="1"/>
  <c r="M38" i="1"/>
  <c r="O38" i="1" s="1"/>
  <c r="U35" i="1" s="1"/>
  <c r="M99" i="1"/>
  <c r="O99" i="1" s="1"/>
  <c r="U96" i="1" s="1"/>
  <c r="V54" i="1" l="1"/>
  <c r="V115" i="1"/>
  <c r="U30" i="1"/>
  <c r="V28" i="1"/>
  <c r="V107" i="1"/>
  <c r="V155" i="1"/>
  <c r="T24" i="1"/>
  <c r="V99" i="1"/>
  <c r="U157" i="1"/>
  <c r="V46" i="1"/>
  <c r="V50" i="1"/>
  <c r="U87" i="1"/>
  <c r="U24" i="1" s="1"/>
  <c r="V169" i="1"/>
  <c r="V62" i="1"/>
  <c r="V38" i="1"/>
  <c r="V74" i="1"/>
</calcChain>
</file>

<file path=xl/comments1.xml><?xml version="1.0" encoding="utf-8"?>
<comments xmlns="http://schemas.openxmlformats.org/spreadsheetml/2006/main">
  <authors>
    <author>Автор</author>
  </authors>
  <commentList>
    <comment ref="I16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ИПЦ такой же как в 2025, так как еще нет ИПЦ на 2026!!!
</t>
        </r>
      </text>
    </comment>
  </commentList>
</comments>
</file>

<file path=xl/sharedStrings.xml><?xml version="1.0" encoding="utf-8"?>
<sst xmlns="http://schemas.openxmlformats.org/spreadsheetml/2006/main" count="930" uniqueCount="196">
  <si>
    <t>Нормативные затраты на обеспечение функций</t>
  </si>
  <si>
    <t>Санкт-Петербургское государственное казенное учреждение</t>
  </si>
  <si>
    <t>"Централизованная бухгалтерия администрации Кировского района Санкт-Петербурга"</t>
  </si>
  <si>
    <t>на 2026 год и на плановый период 2027 и 2028 годов</t>
  </si>
  <si>
    <t>№ п/п</t>
  </si>
  <si>
    <t>Вид (группа, подгруппа) затрат</t>
  </si>
  <si>
    <t>КОСГУ</t>
  </si>
  <si>
    <t>Вид расходов</t>
  </si>
  <si>
    <t>РАСЧЕТ</t>
  </si>
  <si>
    <t>Значение нормативных затрат,
руб. в год</t>
  </si>
  <si>
    <t>Порядок расчета нормативных затрат *</t>
  </si>
  <si>
    <t>Затраты на информационно-коммуникационные технологии</t>
  </si>
  <si>
    <t>.</t>
  </si>
  <si>
    <t>1.1.</t>
  </si>
  <si>
    <t>Затраты на приобретение материальных запасов в сфере информационно-коммуникационных технологий</t>
  </si>
  <si>
    <t>1.1.1.</t>
  </si>
  <si>
    <t>Затраты на приобретение других запасных частей для вычислительной техники</t>
  </si>
  <si>
    <t>п. 11 НОРМАТИВА  расчет по нормативу на системные блоки, компьютер, ноутбук, персональный компьютер, сервер, сетевое хранилище, мониторы</t>
  </si>
  <si>
    <t>норматив на 2026 год :</t>
  </si>
  <si>
    <t xml:space="preserve">% х </t>
  </si>
  <si>
    <t>руб. =</t>
  </si>
  <si>
    <t>руб.</t>
  </si>
  <si>
    <t>норматив на 2027 год :</t>
  </si>
  <si>
    <t>норматив на 2028 год :</t>
  </si>
  <si>
    <t>1.1.2.</t>
  </si>
  <si>
    <t>Затраты на приобретение деталей для содержания принтеров, многофункциональных устройств и копировальных аппаратов (оргтехники)</t>
  </si>
  <si>
    <r>
      <t>п. 12.1(</t>
    </r>
    <r>
      <rPr>
        <b/>
        <i/>
        <sz val="16"/>
        <rFont val="Times New Roman"/>
        <family val="1"/>
        <charset val="204"/>
      </rPr>
      <t>от п.6</t>
    </r>
    <r>
      <rPr>
        <i/>
        <sz val="16"/>
        <rFont val="Times New Roman"/>
        <family val="1"/>
        <charset val="204"/>
      </rPr>
      <t>) НОРМАТИВА расчет по нормативу на эл.пишущую машинку, мфу, принтер, копир, ксерокс, копировальный аппарат, финишер, сканер</t>
    </r>
  </si>
  <si>
    <t>норматив по оргтехнике на 2025 год :</t>
  </si>
  <si>
    <t>руб. х (</t>
  </si>
  <si>
    <t xml:space="preserve">шт.ед. : </t>
  </si>
  <si>
    <t xml:space="preserve">лет + </t>
  </si>
  <si>
    <t>шт.ед. к замещению) =</t>
  </si>
  <si>
    <t>% х</t>
  </si>
  <si>
    <t>норматив по оргтехнике на 2026 год :</t>
  </si>
  <si>
    <t>норматив по оргтехнике на 2027 год :</t>
  </si>
  <si>
    <t>Прочие затраты (в том числе затраты на закупку товаров, работ и услуг в целях оказания государственных услуг (выполнения работ)и реализации государственных функций), не указанные в подпунктах "а"-"ж" пункта 6 Общих правил</t>
  </si>
  <si>
    <t>2.1.</t>
  </si>
  <si>
    <t>Затраты на услуги связи</t>
  </si>
  <si>
    <t>2.1.1.</t>
  </si>
  <si>
    <t>Затраты на оплату услуг почтовой связи</t>
  </si>
  <si>
    <t>без НОРМАТИВА, считаем с помощью ИПЦ - расчет на 2024 год + индексация</t>
  </si>
  <si>
    <t xml:space="preserve">у.ед. х </t>
  </si>
  <si>
    <t>2.2.</t>
  </si>
  <si>
    <t>Затраты на содержание имущества</t>
  </si>
  <si>
    <t>2.2.1.</t>
  </si>
  <si>
    <t>Затраты на  техническое обслуживание и ремонт  транспортных средств</t>
  </si>
  <si>
    <t>без НОРМАТИВА, считаем с помощью ИПЦ - расчет - НОРМИРОВАНИЕ  на 2024 год + индексация</t>
  </si>
  <si>
    <t>авт. х</t>
  </si>
  <si>
    <t>раз х средняя цена</t>
  </si>
  <si>
    <t>2.2.2.</t>
  </si>
  <si>
    <t>Затраты на технический осмотр автомобиля</t>
  </si>
  <si>
    <t>без НОРМАТИВА, считаем с помощью ИПЦ - расчет - НОРМИРОВАНИЕ  на 2022 год + индексация</t>
  </si>
  <si>
    <t xml:space="preserve">раз х </t>
  </si>
  <si>
    <t>2.2.3.</t>
  </si>
  <si>
    <t>Затраты на  техническое обслуживание и ремонт систем кондиционирования</t>
  </si>
  <si>
    <t>без НОРМАТИВА, считаем с помощью ИПЦ - расчет - мониторинг на 2025 год + индексация</t>
  </si>
  <si>
    <t xml:space="preserve">шт. х </t>
  </si>
  <si>
    <t>2.2.4.</t>
  </si>
  <si>
    <t>Затраты на  техническое обслуживание  охранно-тревожной сигнализации</t>
  </si>
  <si>
    <t>без НОРМАТИВА, считаем с помощью ИПЦ - расчет - НОРМИРОВАНИЕ  на 2023 год + индексация</t>
  </si>
  <si>
    <t xml:space="preserve">час х </t>
  </si>
  <si>
    <t>2.2.5.</t>
  </si>
  <si>
    <t>Затраты на  техническое обслуживание  счетчика банкнот</t>
  </si>
  <si>
    <t>шт. х</t>
  </si>
  <si>
    <t xml:space="preserve">раза х </t>
  </si>
  <si>
    <t>2.2.6.</t>
  </si>
  <si>
    <t>Затраты на вывоз и утилизацию отработанных картриджей</t>
  </si>
  <si>
    <t>2.2.7.</t>
  </si>
  <si>
    <t>Затраты на вывоз и утилизацию огнетушителей</t>
  </si>
  <si>
    <t>2.2.8.</t>
  </si>
  <si>
    <t>Затраты на вывоз и утилизацию мебели</t>
  </si>
  <si>
    <t>2.2.9.</t>
  </si>
  <si>
    <t>Затраты на вывоз и утилизацию бытовой техники</t>
  </si>
  <si>
    <t>2.2.10.</t>
  </si>
  <si>
    <t>Затраты на утилизацию калькуляторов</t>
  </si>
  <si>
    <t>2.2.11.</t>
  </si>
  <si>
    <t>Затраты на перезарядку огнетушителей</t>
  </si>
  <si>
    <t>2.2.12.</t>
  </si>
  <si>
    <t>Затраты на перетяжку мебели</t>
  </si>
  <si>
    <t>2.2.13.</t>
  </si>
  <si>
    <t>Затраты на ремонт помещений</t>
  </si>
  <si>
    <t>без НОРМАТИВА, считаем с помощью ИПЦ - расчет на 2025 год + индексация</t>
  </si>
  <si>
    <t>2.2.14.</t>
  </si>
  <si>
    <t>Затраты на замену светильников в  помещениях</t>
  </si>
  <si>
    <t>2.3.</t>
  </si>
  <si>
    <t>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</t>
  </si>
  <si>
    <t>2.3.1.</t>
  </si>
  <si>
    <t>Затраты на приобретение периодических печатных изданий</t>
  </si>
  <si>
    <t>п. 15  НОРМАТИВА   расчет по нормативу на подписку</t>
  </si>
  <si>
    <t>шт.ед. х норматив</t>
  </si>
  <si>
    <t>руб. х</t>
  </si>
  <si>
    <t>мес. =</t>
  </si>
  <si>
    <t>2.3.2.</t>
  </si>
  <si>
    <t>Затраты на проведение периодического медицинского осмотра</t>
  </si>
  <si>
    <t>без НОРМАТИВА, считаем с помощью ИПЦ - расчет - НОРМИРОВАНИЕ  на 2022 год + индексация            не реже 1 раза в 2 года</t>
  </si>
  <si>
    <t>чел. х</t>
  </si>
  <si>
    <t>2.3.3.</t>
  </si>
  <si>
    <t>Затраты на проведение предрейсового медицинского осмотра</t>
  </si>
  <si>
    <r>
      <t xml:space="preserve">без НОРМАТИВА, считаем с помощью ИПЦ - расчет - </t>
    </r>
    <r>
      <rPr>
        <b/>
        <i/>
        <sz val="16"/>
        <rFont val="Times New Roman"/>
        <family val="1"/>
        <charset val="204"/>
      </rPr>
      <t>мониторинг на 2023 год</t>
    </r>
    <r>
      <rPr>
        <i/>
        <sz val="16"/>
        <rFont val="Times New Roman"/>
        <family val="1"/>
        <charset val="204"/>
      </rPr>
      <t xml:space="preserve"> + индексация</t>
    </r>
  </si>
  <si>
    <t>2.3.4.</t>
  </si>
  <si>
    <t>Затраты на оплату услуг охраны объекта</t>
  </si>
  <si>
    <t xml:space="preserve">без НОРМАТИВА, считаем с помощью ИПЦ - расчет - мониторинг  на 2025-2026 год + индексация     </t>
  </si>
  <si>
    <t xml:space="preserve">мес. х </t>
  </si>
  <si>
    <t>2.3.5.</t>
  </si>
  <si>
    <t>Затраты на приобретение полисов обязательного страхования гражданской ответственности владельцев транспортных средств</t>
  </si>
  <si>
    <t xml:space="preserve">авт  х </t>
  </si>
  <si>
    <t>2.3.6.</t>
  </si>
  <si>
    <t>Затраты на оказание услуг по  охране имущества при его транспортировке</t>
  </si>
  <si>
    <t xml:space="preserve">без НОРМАТИВА, считаем с помощью ИПЦ - расчет - мониторинг  на 2025 год  и 2026 год + индексация     </t>
  </si>
  <si>
    <t>2.3.7.</t>
  </si>
  <si>
    <t>Затраты на оказание услуг по обучению персонала</t>
  </si>
  <si>
    <t xml:space="preserve">без НОРМАТИВА, считаем с помощью ИПЦ - расчет - НОРМИРОВАНИЕ  на 2022 год + отклонение на мониторинг за 2024 год + индексация     </t>
  </si>
  <si>
    <t>раз х</t>
  </si>
  <si>
    <t xml:space="preserve">руб. </t>
  </si>
  <si>
    <t>2.3.8.</t>
  </si>
  <si>
    <t>Затраты на оказание нотариальных услуг</t>
  </si>
  <si>
    <t xml:space="preserve">без НОРМАТИВА, считаем с помощью ИПЦ - расчет - НОРМИРОВАНИЕ  на 2022 год + индексация     </t>
  </si>
  <si>
    <t>ед. х</t>
  </si>
  <si>
    <t>2.3.9.</t>
  </si>
  <si>
    <t>Затраты на оказание  услуг по архивной обработке и переплету документов</t>
  </si>
  <si>
    <t xml:space="preserve">без НОРМАТИВА, считаем с помощью ИПЦ - расчет - мониторинг  на 2024 год + индексация     </t>
  </si>
  <si>
    <t xml:space="preserve">ед. х </t>
  </si>
  <si>
    <t>2.3.10.</t>
  </si>
  <si>
    <t>Затраты на оказание услуг по составлению архивной описи</t>
  </si>
  <si>
    <t>2.3.11.</t>
  </si>
  <si>
    <t>Затраты на оказание услуг по проведению специальной оценки условий труда</t>
  </si>
  <si>
    <t xml:space="preserve">без НОРМАТИВА, считаем с помощью ИПЦ - расчет - НОРМИРОВАНИЕ  на 2023 год + индексация     </t>
  </si>
  <si>
    <t>2.3.12.</t>
  </si>
  <si>
    <t>Затраты на оказание услуг по проведению  оценки профессиональных рисков</t>
  </si>
  <si>
    <t>2.3.13.</t>
  </si>
  <si>
    <t>Затраты на оказание услуг по проведению паспортизации опасных отходов</t>
  </si>
  <si>
    <t>2.3.14.</t>
  </si>
  <si>
    <t>Затраты на оказание услуг по  перемещению груза</t>
  </si>
  <si>
    <t xml:space="preserve">без НОРМАТИВА, считаем с помощью ИПЦ - расчет - НОРМИРОВАНИЕ  на 2025 год + индексация            </t>
  </si>
  <si>
    <t>чел.-час х</t>
  </si>
  <si>
    <t>2.4.</t>
  </si>
  <si>
    <t>Затраты на приобретение основных средств</t>
  </si>
  <si>
    <t>2.4.1.</t>
  </si>
  <si>
    <t>Затраты на приобретение   мебели</t>
  </si>
  <si>
    <t>п. 17 НОРМАТИВА  расчет   на мебель руб. на 1 работника</t>
  </si>
  <si>
    <t>2.4.2.</t>
  </si>
  <si>
    <t>Затраты на приобретение систем кондиционирования</t>
  </si>
  <si>
    <t>2.4.3.</t>
  </si>
  <si>
    <t>Затраты на приобретение прочих основных средств для обеспечения деятельности учреждения</t>
  </si>
  <si>
    <t>2.5.</t>
  </si>
  <si>
    <t>Затраты на приобретение материальных запасов, не отнесенные к затратам, указанным в подпунктах "а"-"ж" пункта 6 Общих правил:</t>
  </si>
  <si>
    <t>2.5.1.</t>
  </si>
  <si>
    <t>Затраты на приобретение  бланочной продукции</t>
  </si>
  <si>
    <t>2.5.2.</t>
  </si>
  <si>
    <t>Затраты на приобретение  канцелярских принадлежностей</t>
  </si>
  <si>
    <t>п.  18.3   НОРМАТИВА  расчет  на набор канц.принадлежностей</t>
  </si>
  <si>
    <t>2.5.3.</t>
  </si>
  <si>
    <t>Затраты на приобретение горюче-смазочных материалов</t>
  </si>
  <si>
    <t xml:space="preserve">без НОРМАТИВА, считаем с помощью ИПЦ - расчет - мониторинг  на 2025 год + индексация    </t>
  </si>
  <si>
    <t xml:space="preserve">л. х </t>
  </si>
  <si>
    <t>2.5.4.</t>
  </si>
  <si>
    <t>Затраты на приобретение запасных частей для транспортных средств</t>
  </si>
  <si>
    <t xml:space="preserve">без НОРМАТИВА, считаем с помощью ИПЦ - расчет - НОРМИРОВАНИЕ  на 2023 год + мониторинг на 2025 год + индексация  (затраты на приобретение шин для автомобиля, колесных дисков)  </t>
  </si>
  <si>
    <t>2.5.5.</t>
  </si>
  <si>
    <t>Затраты на приобретение материальных запасов для нужд гражданской обороны</t>
  </si>
  <si>
    <t>2.5.5.1.</t>
  </si>
  <si>
    <t>Затраты на приобретение комплектов индивидуальной медицинской гражданской защиты</t>
  </si>
  <si>
    <t>2.5.5.2.</t>
  </si>
  <si>
    <t>Затраты на приобретение аптечки первой помощи</t>
  </si>
  <si>
    <t>2.5.5.3.</t>
  </si>
  <si>
    <t>Затраты на приобретение  пакетов перевязочных индивидуальных</t>
  </si>
  <si>
    <t xml:space="preserve">без НОРМАТИВА, считаем с помощью ИПЦ - расчет - НОРМИРОВАНИЕ  на 2025 год + индексация     </t>
  </si>
  <si>
    <t>2.5.5.4.</t>
  </si>
  <si>
    <t>Затраты на приобретение индивидуальных противохимических пакетов</t>
  </si>
  <si>
    <t>2.5.5.5.</t>
  </si>
  <si>
    <t>Затраты на приобретение респираторов</t>
  </si>
  <si>
    <t>2.5.5.6.</t>
  </si>
  <si>
    <t>Затраты на приобретение масок медицинских одноразовых</t>
  </si>
  <si>
    <t>2.5.5.7.</t>
  </si>
  <si>
    <t>Затраты на приобретение противогазов</t>
  </si>
  <si>
    <t>2.5.5.8.</t>
  </si>
  <si>
    <t>Затраты на приобретение дозиметров</t>
  </si>
  <si>
    <t>2.5.5.9.</t>
  </si>
  <si>
    <t>Затраты на приобретение комплекта дозиметров со считывающим устройством</t>
  </si>
  <si>
    <t>2.5.5.10.</t>
  </si>
  <si>
    <t>Затраты на приобретение комплекта индивидуального противоожогового с перевязочным пакетом</t>
  </si>
  <si>
    <t>2.5.5.11.</t>
  </si>
  <si>
    <t>Затраты на приобретение набора первой медицинской помощи</t>
  </si>
  <si>
    <t>2.5.5.12.</t>
  </si>
  <si>
    <t>Затраты на приобретение носилок медицинских мягких бескаркасных</t>
  </si>
  <si>
    <t>2.5.5.13.</t>
  </si>
  <si>
    <t>Затраты на приобретение самоспасателей фильтрующих</t>
  </si>
  <si>
    <t>2.5.5.14.</t>
  </si>
  <si>
    <t>Затраты на приобретение одежды специальной повышенной видимости</t>
  </si>
  <si>
    <t>2.5.5.15.</t>
  </si>
  <si>
    <t>Затраты на приобретение электромегафона</t>
  </si>
  <si>
    <t>2.5.6.</t>
  </si>
  <si>
    <t>Затраты на приобретение хозяйственных товаров</t>
  </si>
  <si>
    <t xml:space="preserve">без НОРМАТИВА, считаем с помощью ИПЦ - расчет - мониторинг  на 2025 год + индексация     </t>
  </si>
  <si>
    <t>* - расчеты произведены с учетом индексов потребительских цен:  на 2026 год – 103,91 %, на 2027 год – 103,90 %, на 2028 год – 103,90 %.</t>
  </si>
  <si>
    <t>Приложение № 3 к распоряжению администрации Кировского района Санкт-Петербурга от______________№_____________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</si>
</sst>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#,##0.0"/>
  </numFmts>
  <fonts count="2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Calibri"/>
      <family val="2"/>
      <scheme val="minor"/>
    </font>
    <font>
      <b/>
      <sz val="16"/>
      <name val="Times New Roman"/>
      <family val="1"/>
      <charset val="204"/>
    </font>
    <font>
      <sz val="10"/>
      <name val="Arial Cyr"/>
      <charset val="204"/>
    </font>
    <font>
      <i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  <font>
      <b/>
      <u/>
      <sz val="24"/>
      <name val="Times New Roman"/>
      <family val="1"/>
      <charset val="204"/>
    </font>
    <font>
      <b/>
      <u/>
      <sz val="24.5"/>
      <name val="Times New Roman"/>
      <family val="1"/>
      <charset val="204"/>
    </font>
    <font>
      <sz val="24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" fontId="6" fillId="0" borderId="1" xfId="1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left" vertical="center"/>
    </xf>
    <xf numFmtId="4" fontId="6" fillId="0" borderId="6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1" fontId="6" fillId="0" borderId="4" xfId="1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1" fontId="6" fillId="0" borderId="5" xfId="1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1" fontId="6" fillId="0" borderId="6" xfId="1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4" fontId="8" fillId="0" borderId="4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/>
    <xf numFmtId="0" fontId="7" fillId="0" borderId="6" xfId="0" applyFont="1" applyFill="1" applyBorder="1"/>
    <xf numFmtId="4" fontId="1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center" wrapText="1"/>
    </xf>
    <xf numFmtId="14" fontId="2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8" fillId="0" borderId="8" xfId="0" applyFont="1" applyFill="1" applyBorder="1" applyAlignment="1">
      <alignment horizontal="justify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251"/>
  <sheetViews>
    <sheetView tabSelected="1" topLeftCell="A190" zoomScale="50" zoomScaleNormal="50" workbookViewId="0">
      <selection activeCell="V79" sqref="V79"/>
    </sheetView>
  </sheetViews>
  <sheetFormatPr defaultColWidth="9.140625" defaultRowHeight="18.75" outlineLevelCol="1" x14ac:dyDescent="0.25"/>
  <cols>
    <col min="1" max="1" width="11" style="3" customWidth="1"/>
    <col min="2" max="2" width="66.28515625" style="2" customWidth="1" collapsed="1"/>
    <col min="3" max="3" width="0.28515625" style="3" hidden="1" customWidth="1" outlineLevel="1" collapsed="1"/>
    <col min="4" max="4" width="9" style="3" hidden="1" customWidth="1" outlineLevel="1"/>
    <col min="5" max="5" width="9" style="3" hidden="1" customWidth="1" outlineLevel="1" collapsed="1"/>
    <col min="6" max="6" width="29" style="3" hidden="1" customWidth="1" outlineLevel="1"/>
    <col min="7" max="7" width="13.5703125" style="3" hidden="1" customWidth="1" outlineLevel="1"/>
    <col min="8" max="8" width="32.85546875" style="3" hidden="1" customWidth="1" outlineLevel="1"/>
    <col min="9" max="9" width="22.5703125" style="3" hidden="1" customWidth="1" outlineLevel="1"/>
    <col min="10" max="10" width="29.85546875" style="3" hidden="1" customWidth="1" outlineLevel="1"/>
    <col min="11" max="11" width="17.140625" style="3" hidden="1" customWidth="1" outlineLevel="1"/>
    <col min="12" max="12" width="13.140625" style="3" hidden="1" customWidth="1" outlineLevel="1"/>
    <col min="13" max="13" width="18" style="3" hidden="1" customWidth="1" outlineLevel="1"/>
    <col min="14" max="14" width="26.7109375" style="3" hidden="1" customWidth="1" outlineLevel="1"/>
    <col min="15" max="15" width="24.85546875" style="3" hidden="1" customWidth="1" outlineLevel="1"/>
    <col min="16" max="16" width="19.7109375" style="3" hidden="1" customWidth="1" outlineLevel="1"/>
    <col min="17" max="17" width="20.28515625" style="3" hidden="1" customWidth="1" outlineLevel="1"/>
    <col min="18" max="18" width="9.85546875" style="3" hidden="1" customWidth="1" outlineLevel="1"/>
    <col min="19" max="19" width="27.140625" style="2" customWidth="1" collapsed="1"/>
    <col min="20" max="20" width="23.28515625" style="2" customWidth="1"/>
    <col min="21" max="21" width="25.5703125" style="2" customWidth="1"/>
    <col min="22" max="22" width="116.42578125" style="3" customWidth="1" collapsed="1"/>
    <col min="23" max="16384" width="9.140625" style="3"/>
  </cols>
  <sheetData>
    <row r="1" spans="1:22" ht="125.25" customHeight="1" x14ac:dyDescent="0.25">
      <c r="A1" s="59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6" t="s">
        <v>195</v>
      </c>
    </row>
    <row r="2" spans="1:22" s="2" customFormat="1" ht="30.75" x14ac:dyDescent="0.25">
      <c r="A2" s="61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spans="1:22" s="2" customFormat="1" ht="31.5" x14ac:dyDescent="0.25">
      <c r="A3" s="64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</row>
    <row r="4" spans="1:22" s="2" customFormat="1" ht="30.75" x14ac:dyDescent="0.25">
      <c r="A4" s="63" t="s">
        <v>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</row>
    <row r="5" spans="1:22" ht="27.75" customHeight="1" x14ac:dyDescent="0.25">
      <c r="A5" s="63" t="s">
        <v>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</row>
    <row r="6" spans="1:22" s="2" customFormat="1" ht="27.7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s="2" customFormat="1" ht="9" customHeight="1" x14ac:dyDescent="0.25">
      <c r="A7" s="1"/>
    </row>
    <row r="8" spans="1:22" s="2" customFormat="1" ht="40.5" customHeight="1" x14ac:dyDescent="0.25">
      <c r="A8" s="6" t="s">
        <v>4</v>
      </c>
      <c r="B8" s="6" t="s">
        <v>5</v>
      </c>
      <c r="C8" s="7"/>
      <c r="D8" s="6" t="s">
        <v>6</v>
      </c>
      <c r="E8" s="6" t="s">
        <v>7</v>
      </c>
      <c r="F8" s="6" t="s">
        <v>8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 t="s">
        <v>9</v>
      </c>
      <c r="T8" s="6"/>
      <c r="U8" s="6"/>
      <c r="V8" s="6" t="s">
        <v>10</v>
      </c>
    </row>
    <row r="9" spans="1:22" s="2" customFormat="1" ht="25.5" customHeight="1" x14ac:dyDescent="0.25">
      <c r="A9" s="6"/>
      <c r="B9" s="6"/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9">
        <v>2026</v>
      </c>
      <c r="T9" s="9">
        <v>2027</v>
      </c>
      <c r="U9" s="9">
        <v>2028</v>
      </c>
      <c r="V9" s="6"/>
    </row>
    <row r="10" spans="1:22" s="2" customFormat="1" ht="21.75" customHeight="1" x14ac:dyDescent="0.25">
      <c r="A10" s="7">
        <v>1</v>
      </c>
      <c r="B10" s="7">
        <v>2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>
        <v>3</v>
      </c>
      <c r="T10" s="7">
        <v>4</v>
      </c>
      <c r="U10" s="7">
        <v>5</v>
      </c>
      <c r="V10" s="10">
        <v>6</v>
      </c>
    </row>
    <row r="11" spans="1:22" s="2" customFormat="1" ht="51" customHeight="1" x14ac:dyDescent="0.25">
      <c r="A11" s="9">
        <v>1</v>
      </c>
      <c r="B11" s="11" t="s">
        <v>11</v>
      </c>
      <c r="C11" s="12"/>
      <c r="D11" s="13" t="s">
        <v>12</v>
      </c>
      <c r="E11" s="13" t="s">
        <v>12</v>
      </c>
      <c r="F11" s="14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2">
        <f>S12</f>
        <v>3300630</v>
      </c>
      <c r="T11" s="12">
        <f t="shared" ref="T11:U11" si="0">T12</f>
        <v>3433460</v>
      </c>
      <c r="U11" s="12">
        <f t="shared" si="0"/>
        <v>3569170</v>
      </c>
      <c r="V11" s="16"/>
    </row>
    <row r="12" spans="1:22" s="2" customFormat="1" ht="72.75" customHeight="1" x14ac:dyDescent="0.25">
      <c r="A12" s="7" t="s">
        <v>13</v>
      </c>
      <c r="B12" s="16" t="s">
        <v>14</v>
      </c>
      <c r="C12" s="17"/>
      <c r="D12" s="13" t="s">
        <v>12</v>
      </c>
      <c r="E12" s="13" t="s">
        <v>12</v>
      </c>
      <c r="F12" s="14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2">
        <f>SUM(S13,S17)</f>
        <v>3300630</v>
      </c>
      <c r="T12" s="12">
        <f t="shared" ref="T12:U12" si="1">SUM(T13,T17)</f>
        <v>3433460</v>
      </c>
      <c r="U12" s="12">
        <f t="shared" si="1"/>
        <v>3569170</v>
      </c>
      <c r="V12" s="16"/>
    </row>
    <row r="13" spans="1:22" s="2" customFormat="1" ht="20.25" x14ac:dyDescent="0.25">
      <c r="A13" s="6" t="s">
        <v>15</v>
      </c>
      <c r="B13" s="18" t="s">
        <v>16</v>
      </c>
      <c r="C13" s="17"/>
      <c r="D13" s="19">
        <v>346</v>
      </c>
      <c r="E13" s="19">
        <v>242</v>
      </c>
      <c r="F13" s="20" t="s">
        <v>17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1">
        <f>M14</f>
        <v>107430</v>
      </c>
      <c r="T13" s="21">
        <f>M15</f>
        <v>107430</v>
      </c>
      <c r="U13" s="21">
        <f>M16</f>
        <v>107430</v>
      </c>
      <c r="V13" s="16"/>
    </row>
    <row r="14" spans="1:22" s="2" customFormat="1" ht="20.25" x14ac:dyDescent="0.25">
      <c r="A14" s="6"/>
      <c r="B14" s="22"/>
      <c r="C14" s="17"/>
      <c r="D14" s="8"/>
      <c r="E14" s="8"/>
      <c r="F14" s="10" t="s">
        <v>18</v>
      </c>
      <c r="G14" s="23">
        <v>1</v>
      </c>
      <c r="H14" s="24" t="s">
        <v>19</v>
      </c>
      <c r="I14" s="24">
        <v>10742141.880000036</v>
      </c>
      <c r="J14" s="24" t="s">
        <v>20</v>
      </c>
      <c r="K14" s="24">
        <f>ROUND((G14%*I14),2)</f>
        <v>107421.42</v>
      </c>
      <c r="L14" s="24" t="s">
        <v>20</v>
      </c>
      <c r="M14" s="23">
        <f>ROUNDUP((K14),-1)</f>
        <v>107430</v>
      </c>
      <c r="N14" s="23" t="s">
        <v>21</v>
      </c>
      <c r="O14" s="10"/>
      <c r="P14" s="10"/>
      <c r="Q14" s="10"/>
      <c r="R14" s="10"/>
      <c r="S14" s="21"/>
      <c r="T14" s="21"/>
      <c r="U14" s="21"/>
      <c r="V14" s="16" t="str">
        <f>"норматив "&amp;TEXT(G14,"0,0")&amp;" % х "&amp;TEXT(I14,"0 000,00")&amp;" руб. = "&amp;TEXT(K14,"0 000,00")&amp;" руб. = "&amp;TEXT(M14,"0 000,00")&amp;" руб."</f>
        <v>норматив 1,0 % х 10 742 141,88 руб. = 107 421,42 руб. = 107 430,00 руб.</v>
      </c>
    </row>
    <row r="15" spans="1:22" s="2" customFormat="1" ht="20.25" x14ac:dyDescent="0.25">
      <c r="A15" s="6"/>
      <c r="B15" s="22"/>
      <c r="C15" s="17"/>
      <c r="D15" s="8"/>
      <c r="E15" s="8"/>
      <c r="F15" s="10" t="s">
        <v>22</v>
      </c>
      <c r="G15" s="23">
        <v>1</v>
      </c>
      <c r="H15" s="24" t="s">
        <v>19</v>
      </c>
      <c r="I15" s="24">
        <f>I14*1</f>
        <v>10742141.880000036</v>
      </c>
      <c r="J15" s="24" t="s">
        <v>20</v>
      </c>
      <c r="K15" s="24">
        <f>ROUND((G15%*I15),2)</f>
        <v>107421.42</v>
      </c>
      <c r="L15" s="24" t="s">
        <v>20</v>
      </c>
      <c r="M15" s="23">
        <f>ROUNDUP((K15),-1)</f>
        <v>107430</v>
      </c>
      <c r="N15" s="23" t="s">
        <v>21</v>
      </c>
      <c r="O15" s="10"/>
      <c r="P15" s="10"/>
      <c r="Q15" s="10"/>
      <c r="R15" s="10"/>
      <c r="S15" s="21"/>
      <c r="T15" s="21"/>
      <c r="U15" s="21"/>
      <c r="V15" s="16" t="str">
        <f>"норматив "&amp;TEXT(G15,"0,0")&amp;" % х "&amp;TEXT(I15,"0 000,00")&amp;" руб. = "&amp;TEXT(K15,"0 000,00")&amp;" руб. = "&amp;TEXT(M15,"0 000,00")&amp;" руб."</f>
        <v>норматив 1,0 % х 10 742 141,88 руб. = 107 421,42 руб. = 107 430,00 руб.</v>
      </c>
    </row>
    <row r="16" spans="1:22" s="2" customFormat="1" ht="20.25" x14ac:dyDescent="0.25">
      <c r="A16" s="6"/>
      <c r="B16" s="22"/>
      <c r="C16" s="17"/>
      <c r="D16" s="8"/>
      <c r="E16" s="8"/>
      <c r="F16" s="10" t="s">
        <v>23</v>
      </c>
      <c r="G16" s="23">
        <v>1</v>
      </c>
      <c r="H16" s="24" t="s">
        <v>19</v>
      </c>
      <c r="I16" s="24">
        <f>I15*1</f>
        <v>10742141.880000036</v>
      </c>
      <c r="J16" s="24" t="s">
        <v>20</v>
      </c>
      <c r="K16" s="24">
        <f>ROUND((G16%*I16),2)</f>
        <v>107421.42</v>
      </c>
      <c r="L16" s="24" t="s">
        <v>20</v>
      </c>
      <c r="M16" s="23">
        <f>ROUNDUP((K16),-1)</f>
        <v>107430</v>
      </c>
      <c r="N16" s="23" t="s">
        <v>21</v>
      </c>
      <c r="O16" s="10"/>
      <c r="P16" s="10"/>
      <c r="Q16" s="10"/>
      <c r="R16" s="10"/>
      <c r="S16" s="21"/>
      <c r="T16" s="21"/>
      <c r="U16" s="21"/>
      <c r="V16" s="16" t="str">
        <f>"норматив "&amp;TEXT(G16,"0,0")&amp;" % х "&amp;TEXT(I16,"0 000,00")&amp;" руб. = "&amp;TEXT(K16,"0 000,00")&amp;" руб. = "&amp;TEXT(M16,"0 000,00")&amp;" руб."</f>
        <v>норматив 1,0 % х 10 742 141,88 руб. = 107 421,42 руб. = 107 430,00 руб.</v>
      </c>
    </row>
    <row r="17" spans="1:22" s="2" customFormat="1" ht="20.25" x14ac:dyDescent="0.25">
      <c r="A17" s="6" t="s">
        <v>24</v>
      </c>
      <c r="B17" s="18" t="s">
        <v>25</v>
      </c>
      <c r="C17" s="17"/>
      <c r="D17" s="19">
        <v>346</v>
      </c>
      <c r="E17" s="19">
        <v>242</v>
      </c>
      <c r="F17" s="20" t="s">
        <v>26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1">
        <f>M19</f>
        <v>3193200</v>
      </c>
      <c r="T17" s="21">
        <f>M21</f>
        <v>3326030</v>
      </c>
      <c r="U17" s="21">
        <f>M23</f>
        <v>3461740</v>
      </c>
      <c r="V17" s="16"/>
    </row>
    <row r="18" spans="1:22" s="2" customFormat="1" ht="20.25" x14ac:dyDescent="0.25">
      <c r="A18" s="6"/>
      <c r="B18" s="22"/>
      <c r="C18" s="17"/>
      <c r="D18" s="8"/>
      <c r="E18" s="8"/>
      <c r="F18" s="10" t="s">
        <v>27</v>
      </c>
      <c r="G18" s="24">
        <v>49971.7</v>
      </c>
      <c r="H18" s="24" t="s">
        <v>28</v>
      </c>
      <c r="I18" s="24">
        <v>213</v>
      </c>
      <c r="J18" s="24" t="s">
        <v>29</v>
      </c>
      <c r="K18" s="24">
        <v>5</v>
      </c>
      <c r="L18" s="24" t="s">
        <v>30</v>
      </c>
      <c r="M18" s="24">
        <v>0</v>
      </c>
      <c r="N18" s="24" t="s">
        <v>31</v>
      </c>
      <c r="O18" s="24">
        <f>ROUND((G18*(I18/K18+M18)),2)</f>
        <v>2128794.42</v>
      </c>
      <c r="P18" s="24" t="s">
        <v>21</v>
      </c>
      <c r="Q18" s="24"/>
      <c r="R18" s="24"/>
      <c r="S18" s="21"/>
      <c r="T18" s="21"/>
      <c r="U18" s="21"/>
      <c r="V18" s="18" t="str">
        <f>"норматив "&amp;TEXT(G19,"0,0")&amp;" % х (норматив "&amp;TEXT(G18,"0 000,00")&amp;" руб. х ("&amp;TEXT(I18,"000,00")&amp;" шт.ед. : срок "&amp;TEXT(K18,"0")&amp;" лет + "&amp;TEXT(M18,"0,00")&amp;" шт.ед.) = "&amp;TEXT(O18,"0 000,00")&amp;" руб.) = "&amp;TEXT(K19,"0 000,00")&amp;" руб. = "&amp;TEXT(M19,"0 000,00")&amp;" руб."</f>
        <v>норматив 150,0 % х (норматив 49 971,70 руб. х (213,00 шт.ед. : срок 5 лет + 0,00 шт.ед.) = 2 128 794,42 руб.) = 3 193 191,63 руб. = 3 193 200,00 руб.</v>
      </c>
    </row>
    <row r="19" spans="1:22" s="2" customFormat="1" ht="20.25" x14ac:dyDescent="0.25">
      <c r="A19" s="6"/>
      <c r="B19" s="22"/>
      <c r="C19" s="17"/>
      <c r="D19" s="8"/>
      <c r="E19" s="8"/>
      <c r="F19" s="10" t="str">
        <f>F14</f>
        <v>норматив на 2026 год :</v>
      </c>
      <c r="G19" s="23">
        <v>150</v>
      </c>
      <c r="H19" s="24" t="s">
        <v>32</v>
      </c>
      <c r="I19" s="24">
        <f>O18</f>
        <v>2128794.42</v>
      </c>
      <c r="J19" s="24" t="s">
        <v>20</v>
      </c>
      <c r="K19" s="24">
        <f>ROUND((G19%*I19),2)</f>
        <v>3193191.63</v>
      </c>
      <c r="L19" s="24" t="s">
        <v>20</v>
      </c>
      <c r="M19" s="23">
        <f>ROUNDUP((K19),-1)</f>
        <v>3193200</v>
      </c>
      <c r="N19" s="23" t="s">
        <v>21</v>
      </c>
      <c r="O19" s="10"/>
      <c r="P19" s="10"/>
      <c r="Q19" s="10"/>
      <c r="R19" s="10"/>
      <c r="S19" s="21"/>
      <c r="T19" s="21"/>
      <c r="U19" s="21"/>
      <c r="V19" s="22"/>
    </row>
    <row r="20" spans="1:22" s="2" customFormat="1" ht="20.25" x14ac:dyDescent="0.25">
      <c r="A20" s="6"/>
      <c r="B20" s="22"/>
      <c r="C20" s="17"/>
      <c r="D20" s="8"/>
      <c r="E20" s="8"/>
      <c r="F20" s="10" t="s">
        <v>33</v>
      </c>
      <c r="G20" s="24">
        <v>52050.52</v>
      </c>
      <c r="H20" s="24" t="s">
        <v>28</v>
      </c>
      <c r="I20" s="24">
        <v>213</v>
      </c>
      <c r="J20" s="24" t="s">
        <v>29</v>
      </c>
      <c r="K20" s="24">
        <v>5</v>
      </c>
      <c r="L20" s="24" t="s">
        <v>30</v>
      </c>
      <c r="M20" s="24">
        <v>0</v>
      </c>
      <c r="N20" s="24" t="s">
        <v>31</v>
      </c>
      <c r="O20" s="24">
        <f>ROUND((G20*(I20/K20+M20)),2)</f>
        <v>2217352.15</v>
      </c>
      <c r="P20" s="24" t="s">
        <v>21</v>
      </c>
      <c r="Q20" s="24"/>
      <c r="R20" s="24"/>
      <c r="S20" s="21"/>
      <c r="T20" s="21"/>
      <c r="U20" s="21"/>
      <c r="V20" s="18" t="str">
        <f>"норматив "&amp;TEXT(G21,"0,0")&amp;" % х (норматив "&amp;TEXT(G20,"0 000,00")&amp;" руб. х ("&amp;TEXT(I20,"000,00")&amp;" шт.ед. : срок "&amp;TEXT(K20,"0")&amp;" лет + "&amp;TEXT(M20,"0,00")&amp;" шт.ед.) = "&amp;TEXT(O20,"0 000,00")&amp;" руб.) = "&amp;TEXT(K21,"0 000,00")&amp;" руб. = "&amp;TEXT(M21,"0 000,00")&amp;" руб."</f>
        <v>норматив 150,0 % х (норматив 52 050,52 руб. х (213,00 шт.ед. : срок 5 лет + 0,00 шт.ед.) = 2 217 352,15 руб.) = 3 326 028,23 руб. = 3 326 030,00 руб.</v>
      </c>
    </row>
    <row r="21" spans="1:22" s="2" customFormat="1" ht="20.25" x14ac:dyDescent="0.25">
      <c r="A21" s="6"/>
      <c r="B21" s="22"/>
      <c r="C21" s="17"/>
      <c r="D21" s="8"/>
      <c r="E21" s="8"/>
      <c r="F21" s="10" t="str">
        <f>F15</f>
        <v>норматив на 2027 год :</v>
      </c>
      <c r="G21" s="23">
        <v>150</v>
      </c>
      <c r="H21" s="24" t="s">
        <v>32</v>
      </c>
      <c r="I21" s="24">
        <f>O20</f>
        <v>2217352.15</v>
      </c>
      <c r="J21" s="24" t="s">
        <v>20</v>
      </c>
      <c r="K21" s="24">
        <f>ROUND((G21%*I21),2)</f>
        <v>3326028.23</v>
      </c>
      <c r="L21" s="24" t="s">
        <v>20</v>
      </c>
      <c r="M21" s="23">
        <f>ROUNDUP((K21),-1)</f>
        <v>3326030</v>
      </c>
      <c r="N21" s="23" t="s">
        <v>21</v>
      </c>
      <c r="O21" s="10"/>
      <c r="P21" s="10"/>
      <c r="Q21" s="10"/>
      <c r="R21" s="10"/>
      <c r="S21" s="8"/>
      <c r="T21" s="8"/>
      <c r="U21" s="8"/>
      <c r="V21" s="22"/>
    </row>
    <row r="22" spans="1:22" s="2" customFormat="1" ht="20.25" x14ac:dyDescent="0.25">
      <c r="A22" s="6"/>
      <c r="B22" s="22"/>
      <c r="C22" s="17"/>
      <c r="D22" s="8"/>
      <c r="E22" s="8"/>
      <c r="F22" s="10" t="s">
        <v>34</v>
      </c>
      <c r="G22" s="24">
        <v>54174.18</v>
      </c>
      <c r="H22" s="24" t="s">
        <v>28</v>
      </c>
      <c r="I22" s="24">
        <v>213</v>
      </c>
      <c r="J22" s="24" t="s">
        <v>29</v>
      </c>
      <c r="K22" s="24">
        <v>5</v>
      </c>
      <c r="L22" s="24" t="s">
        <v>30</v>
      </c>
      <c r="M22" s="24">
        <v>0</v>
      </c>
      <c r="N22" s="24" t="s">
        <v>31</v>
      </c>
      <c r="O22" s="24">
        <f>ROUND((G22*(I22/K22+M22)),2)</f>
        <v>2307820.0699999998</v>
      </c>
      <c r="P22" s="24" t="s">
        <v>21</v>
      </c>
      <c r="Q22" s="24"/>
      <c r="R22" s="24"/>
      <c r="S22" s="8"/>
      <c r="T22" s="8"/>
      <c r="U22" s="8"/>
      <c r="V22" s="18" t="str">
        <f>"норматив "&amp;TEXT(G23,"0,0")&amp;" % х (норматив "&amp;TEXT(G22,"0 000,00")&amp;" руб. х ("&amp;TEXT(I22,"000,00")&amp;" шт.ед. : срок "&amp;TEXT(K22,"0")&amp;" лет + "&amp;TEXT(M22,"0,00")&amp;" шт.ед.) = "&amp;TEXT(O22,"0 000,00")&amp;" руб.) = "&amp;TEXT(K23,"0 000,00")&amp;" руб. = "&amp;TEXT(M23,"0 000,00")&amp;" руб."</f>
        <v>норматив 150,0 % х (норматив 54 174,18 руб. х (213,00 шт.ед. : срок 5 лет + 0,00 шт.ед.) = 2 307 820,07 руб.) = 3 461 730,11 руб. = 3 461 740,00 руб.</v>
      </c>
    </row>
    <row r="23" spans="1:22" s="2" customFormat="1" ht="27.75" customHeight="1" x14ac:dyDescent="0.25">
      <c r="A23" s="6"/>
      <c r="B23" s="22"/>
      <c r="C23" s="17"/>
      <c r="D23" s="8"/>
      <c r="E23" s="8"/>
      <c r="F23" s="10" t="str">
        <f>F16</f>
        <v>норматив на 2028 год :</v>
      </c>
      <c r="G23" s="23">
        <v>150</v>
      </c>
      <c r="H23" s="24" t="s">
        <v>32</v>
      </c>
      <c r="I23" s="24">
        <f>O22</f>
        <v>2307820.0699999998</v>
      </c>
      <c r="J23" s="24" t="s">
        <v>20</v>
      </c>
      <c r="K23" s="24">
        <f>ROUND((G23%*I23),2)</f>
        <v>3461730.11</v>
      </c>
      <c r="L23" s="24" t="s">
        <v>20</v>
      </c>
      <c r="M23" s="23">
        <f>ROUNDUP((K23),-1)</f>
        <v>3461740</v>
      </c>
      <c r="N23" s="23" t="s">
        <v>21</v>
      </c>
      <c r="O23" s="10"/>
      <c r="P23" s="10"/>
      <c r="Q23" s="10"/>
      <c r="R23" s="10"/>
      <c r="S23" s="8"/>
      <c r="T23" s="8"/>
      <c r="U23" s="8"/>
      <c r="V23" s="22"/>
    </row>
    <row r="24" spans="1:22" s="2" customFormat="1" ht="158.25" customHeight="1" x14ac:dyDescent="0.25">
      <c r="A24" s="9">
        <v>2</v>
      </c>
      <c r="B24" s="11" t="s">
        <v>35</v>
      </c>
      <c r="C24" s="12"/>
      <c r="D24" s="13" t="s">
        <v>12</v>
      </c>
      <c r="E24" s="13" t="s">
        <v>12</v>
      </c>
      <c r="F24" s="2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2">
        <f>SUM(S25,S30,S87,S144,S157)</f>
        <v>23895000</v>
      </c>
      <c r="T24" s="12">
        <f>SUM(T25,T30,T87,T144,T157)</f>
        <v>24849030</v>
      </c>
      <c r="U24" s="12">
        <f>SUM(U25,U30,U87,U144,U157)</f>
        <v>25829820</v>
      </c>
      <c r="V24" s="16"/>
    </row>
    <row r="25" spans="1:22" s="2" customFormat="1" ht="31.5" customHeight="1" x14ac:dyDescent="0.25">
      <c r="A25" s="9" t="s">
        <v>36</v>
      </c>
      <c r="B25" s="16" t="s">
        <v>37</v>
      </c>
      <c r="C25" s="17"/>
      <c r="D25" s="13" t="s">
        <v>12</v>
      </c>
      <c r="E25" s="13" t="s">
        <v>12</v>
      </c>
      <c r="F25" s="14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2">
        <f>SUM(S26)</f>
        <v>111630</v>
      </c>
      <c r="T25" s="12">
        <f t="shared" ref="T25:U25" si="2">SUM(T26)</f>
        <v>115980</v>
      </c>
      <c r="U25" s="12">
        <f t="shared" si="2"/>
        <v>120500</v>
      </c>
      <c r="V25" s="16"/>
    </row>
    <row r="26" spans="1:22" s="2" customFormat="1" ht="20.25" x14ac:dyDescent="0.25">
      <c r="A26" s="6" t="s">
        <v>38</v>
      </c>
      <c r="B26" s="18" t="s">
        <v>39</v>
      </c>
      <c r="C26" s="17"/>
      <c r="D26" s="19">
        <v>221</v>
      </c>
      <c r="E26" s="19">
        <v>244</v>
      </c>
      <c r="F26" s="20" t="s">
        <v>40</v>
      </c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1">
        <f>M27</f>
        <v>111630</v>
      </c>
      <c r="T26" s="21">
        <f>M28</f>
        <v>115980</v>
      </c>
      <c r="U26" s="21">
        <f>M29</f>
        <v>120500</v>
      </c>
      <c r="V26" s="16"/>
    </row>
    <row r="27" spans="1:22" s="2" customFormat="1" ht="20.25" x14ac:dyDescent="0.25">
      <c r="A27" s="6"/>
      <c r="B27" s="22"/>
      <c r="C27" s="17"/>
      <c r="D27" s="8"/>
      <c r="E27" s="26"/>
      <c r="F27" s="10" t="str">
        <f>F14</f>
        <v>норматив на 2026 год :</v>
      </c>
      <c r="G27" s="24">
        <v>1</v>
      </c>
      <c r="H27" s="24" t="s">
        <v>41</v>
      </c>
      <c r="I27" s="24">
        <f>ROUNDUP(107422.3*(1.0391),2)</f>
        <v>111622.51999999999</v>
      </c>
      <c r="J27" s="24" t="s">
        <v>20</v>
      </c>
      <c r="K27" s="24">
        <f>ROUND((G27*I27),2)</f>
        <v>111622.52</v>
      </c>
      <c r="L27" s="24" t="s">
        <v>20</v>
      </c>
      <c r="M27" s="23">
        <f>ROUNDUP((K27),-1)</f>
        <v>111630</v>
      </c>
      <c r="N27" s="23" t="s">
        <v>21</v>
      </c>
      <c r="O27" s="27"/>
      <c r="P27" s="27"/>
      <c r="Q27" s="27"/>
      <c r="R27" s="27"/>
      <c r="S27" s="21"/>
      <c r="T27" s="21"/>
      <c r="U27" s="21"/>
      <c r="V27" s="16" t="str">
        <f>""&amp;TEXT(G27,"0,0")&amp;" у.ед. х "&amp;TEXT(ROUND((I27),2),"0 000,00")&amp;" руб. = "&amp;TEXT(ROUND((K27),2),"0 000,00")&amp;" руб. = "&amp;TEXT(M27,"0 000,00")&amp;" руб."</f>
        <v>1,0 у.ед. х 111 622,52 руб. = 111 622,52 руб. = 111 630,00 руб.</v>
      </c>
    </row>
    <row r="28" spans="1:22" s="2" customFormat="1" ht="20.25" x14ac:dyDescent="0.25">
      <c r="A28" s="6"/>
      <c r="B28" s="22"/>
      <c r="C28" s="17"/>
      <c r="D28" s="8"/>
      <c r="E28" s="26"/>
      <c r="F28" s="10" t="str">
        <f t="shared" ref="F28:F29" si="3">F15</f>
        <v>норматив на 2027 год :</v>
      </c>
      <c r="G28" s="24">
        <v>1</v>
      </c>
      <c r="H28" s="24" t="s">
        <v>41</v>
      </c>
      <c r="I28" s="24">
        <f>ROUNDUP(I27*(1.039),2)</f>
        <v>115975.79999999999</v>
      </c>
      <c r="J28" s="24" t="s">
        <v>20</v>
      </c>
      <c r="K28" s="24">
        <f t="shared" ref="K28:K29" si="4">ROUND((G28*I28),2)</f>
        <v>115975.8</v>
      </c>
      <c r="L28" s="24" t="s">
        <v>20</v>
      </c>
      <c r="M28" s="23">
        <f>ROUNDUP((K28),-1)</f>
        <v>115980</v>
      </c>
      <c r="N28" s="23" t="s">
        <v>21</v>
      </c>
      <c r="O28" s="27"/>
      <c r="P28" s="27"/>
      <c r="Q28" s="27"/>
      <c r="R28" s="27"/>
      <c r="S28" s="21"/>
      <c r="T28" s="21"/>
      <c r="U28" s="21"/>
      <c r="V28" s="16" t="str">
        <f>""&amp;TEXT(G28,"0,0")&amp;" у.ед. х "&amp;TEXT(ROUND((I28),2),"0 000,00")&amp;" руб. = "&amp;TEXT(ROUND((K28),2),"0 000,00")&amp;" руб. = "&amp;TEXT(M28,"0 000,00")&amp;" руб."</f>
        <v>1,0 у.ед. х 115 975,80 руб. = 115 975,80 руб. = 115 980,00 руб.</v>
      </c>
    </row>
    <row r="29" spans="1:22" s="2" customFormat="1" ht="20.25" x14ac:dyDescent="0.25">
      <c r="A29" s="6"/>
      <c r="B29" s="22"/>
      <c r="C29" s="17"/>
      <c r="D29" s="8"/>
      <c r="E29" s="26"/>
      <c r="F29" s="10" t="str">
        <f t="shared" si="3"/>
        <v>норматив на 2028 год :</v>
      </c>
      <c r="G29" s="24">
        <v>1</v>
      </c>
      <c r="H29" s="24" t="s">
        <v>41</v>
      </c>
      <c r="I29" s="24">
        <f>ROUNDUP(I28*(1.039),2)</f>
        <v>120498.86</v>
      </c>
      <c r="J29" s="24" t="s">
        <v>20</v>
      </c>
      <c r="K29" s="24">
        <f t="shared" si="4"/>
        <v>120498.86</v>
      </c>
      <c r="L29" s="24" t="s">
        <v>20</v>
      </c>
      <c r="M29" s="23">
        <f>ROUNDUP((K29),-1)</f>
        <v>120500</v>
      </c>
      <c r="N29" s="23" t="s">
        <v>21</v>
      </c>
      <c r="O29" s="23"/>
      <c r="P29" s="23"/>
      <c r="Q29" s="23"/>
      <c r="R29" s="23"/>
      <c r="S29" s="21"/>
      <c r="T29" s="21"/>
      <c r="U29" s="21"/>
      <c r="V29" s="16" t="str">
        <f>""&amp;TEXT(G29,"0,0")&amp;" у.ед. х "&amp;TEXT(ROUND((I29),2),"0 000,00")&amp;" руб. = "&amp;TEXT(ROUND((K29),2),"0 000,00")&amp;" руб. = "&amp;TEXT(M29,"0 000,00")&amp;" руб."</f>
        <v>1,0 у.ед. х 120 498,86 руб. = 120 498,86 руб. = 120 500,00 руб.</v>
      </c>
    </row>
    <row r="30" spans="1:22" s="2" customFormat="1" ht="33.75" customHeight="1" x14ac:dyDescent="0.25">
      <c r="A30" s="9" t="s">
        <v>42</v>
      </c>
      <c r="B30" s="16" t="s">
        <v>43</v>
      </c>
      <c r="C30" s="17"/>
      <c r="D30" s="13" t="s">
        <v>12</v>
      </c>
      <c r="E30" s="13" t="s">
        <v>12</v>
      </c>
      <c r="F30" s="14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2">
        <f>SUM(S31,S35,S39,S43,S47,S51,S55,S59,S71,S75,S79,S83)</f>
        <v>5157450</v>
      </c>
      <c r="T30" s="12">
        <f t="shared" ref="T30:U30" si="5">SUM(T31,T35,T39,T43,T47,T51,T55,T59,T71,T75,T79,T83)</f>
        <v>5358640</v>
      </c>
      <c r="U30" s="12">
        <f t="shared" si="5"/>
        <v>5567680</v>
      </c>
      <c r="V30" s="16"/>
    </row>
    <row r="31" spans="1:22" s="2" customFormat="1" ht="20.25" x14ac:dyDescent="0.25">
      <c r="A31" s="6" t="s">
        <v>44</v>
      </c>
      <c r="B31" s="18" t="s">
        <v>45</v>
      </c>
      <c r="C31" s="17"/>
      <c r="D31" s="19">
        <v>225</v>
      </c>
      <c r="E31" s="19">
        <v>244</v>
      </c>
      <c r="F31" s="20" t="s">
        <v>46</v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1">
        <f>O32</f>
        <v>104110</v>
      </c>
      <c r="T31" s="21">
        <f>O33</f>
        <v>108170</v>
      </c>
      <c r="U31" s="21">
        <f>O34</f>
        <v>112380</v>
      </c>
      <c r="V31" s="16"/>
    </row>
    <row r="32" spans="1:22" s="2" customFormat="1" ht="20.25" x14ac:dyDescent="0.25">
      <c r="A32" s="6"/>
      <c r="B32" s="22"/>
      <c r="C32" s="17"/>
      <c r="D32" s="8"/>
      <c r="E32" s="26"/>
      <c r="F32" s="10" t="str">
        <f>F14</f>
        <v>норматив на 2026 год :</v>
      </c>
      <c r="G32" s="24">
        <v>1</v>
      </c>
      <c r="H32" s="24" t="s">
        <v>47</v>
      </c>
      <c r="I32" s="24">
        <v>1</v>
      </c>
      <c r="J32" s="24" t="s">
        <v>48</v>
      </c>
      <c r="K32" s="24">
        <f>ROUNDUP((100184.56)*(1.0391),2)</f>
        <v>104101.78</v>
      </c>
      <c r="L32" s="24" t="s">
        <v>20</v>
      </c>
      <c r="M32" s="24">
        <f>ROUND((G32*I32*K32),2)</f>
        <v>104101.78</v>
      </c>
      <c r="N32" s="23" t="s">
        <v>21</v>
      </c>
      <c r="O32" s="23">
        <f>ROUNDUP((M32),-1)</f>
        <v>104110</v>
      </c>
      <c r="P32" s="23" t="s">
        <v>21</v>
      </c>
      <c r="Q32" s="27"/>
      <c r="R32" s="27"/>
      <c r="S32" s="21"/>
      <c r="T32" s="21"/>
      <c r="U32" s="21"/>
      <c r="V32" s="16" t="str">
        <f>""&amp;TEXT(I32,"0,0")&amp;" авт. х "&amp;TEXT(I32,"0,0")&amp;" раз х "&amp;TEXT(ROUND((K32),2),"0 000,00")&amp;" руб. = "&amp;TEXT(ROUND((M32),2),"0 000,00")&amp;" руб. = "&amp;TEXT(O32,"0 000,00")&amp;" руб."</f>
        <v>1,0 авт. х 1,0 раз х 104 101,78 руб. = 104 101,78 руб. = 104 110,00 руб.</v>
      </c>
    </row>
    <row r="33" spans="1:22" s="2" customFormat="1" ht="20.25" x14ac:dyDescent="0.25">
      <c r="A33" s="6"/>
      <c r="B33" s="22"/>
      <c r="C33" s="17"/>
      <c r="D33" s="8"/>
      <c r="E33" s="26"/>
      <c r="F33" s="10" t="str">
        <f>F15</f>
        <v>норматив на 2027 год :</v>
      </c>
      <c r="G33" s="24">
        <v>1</v>
      </c>
      <c r="H33" s="24" t="s">
        <v>47</v>
      </c>
      <c r="I33" s="24">
        <v>1</v>
      </c>
      <c r="J33" s="24" t="s">
        <v>48</v>
      </c>
      <c r="K33" s="24">
        <f>ROUNDUP(K32*(1.039),2)</f>
        <v>108161.75</v>
      </c>
      <c r="L33" s="24" t="s">
        <v>20</v>
      </c>
      <c r="M33" s="24">
        <f>ROUND((G33*I33*K33),0)</f>
        <v>108162</v>
      </c>
      <c r="N33" s="23" t="s">
        <v>21</v>
      </c>
      <c r="O33" s="23">
        <f>ROUNDUP((M33),-1)</f>
        <v>108170</v>
      </c>
      <c r="P33" s="23" t="s">
        <v>21</v>
      </c>
      <c r="Q33" s="27"/>
      <c r="R33" s="27"/>
      <c r="S33" s="21"/>
      <c r="T33" s="21"/>
      <c r="U33" s="21"/>
      <c r="V33" s="16" t="str">
        <f>""&amp;TEXT(I33,"0,0")&amp;" авт. х "&amp;TEXT(I33,"0,0")&amp;" раз х "&amp;TEXT(ROUND((K33),2),"0 000,00")&amp;" руб. = "&amp;TEXT(ROUND((M33),2),"0 000,00")&amp;" руб. = "&amp;TEXT(O33,"0 000,00")&amp;" руб."</f>
        <v>1,0 авт. х 1,0 раз х 108 161,75 руб. = 108 162,00 руб. = 108 170,00 руб.</v>
      </c>
    </row>
    <row r="34" spans="1:22" s="2" customFormat="1" ht="20.25" x14ac:dyDescent="0.25">
      <c r="A34" s="6"/>
      <c r="B34" s="22"/>
      <c r="C34" s="17"/>
      <c r="D34" s="8"/>
      <c r="E34" s="26"/>
      <c r="F34" s="10" t="str">
        <f>F16</f>
        <v>норматив на 2028 год :</v>
      </c>
      <c r="G34" s="24">
        <v>1</v>
      </c>
      <c r="H34" s="24" t="s">
        <v>47</v>
      </c>
      <c r="I34" s="24">
        <v>1</v>
      </c>
      <c r="J34" s="24" t="s">
        <v>48</v>
      </c>
      <c r="K34" s="24">
        <f>ROUNDUP(K33*(1.039),2)</f>
        <v>112380.06</v>
      </c>
      <c r="L34" s="24" t="s">
        <v>20</v>
      </c>
      <c r="M34" s="24">
        <f>ROUND((G34*I34*K34),0)</f>
        <v>112380</v>
      </c>
      <c r="N34" s="23" t="s">
        <v>21</v>
      </c>
      <c r="O34" s="23">
        <f>ROUNDUP((M34),-1)</f>
        <v>112380</v>
      </c>
      <c r="P34" s="23" t="s">
        <v>21</v>
      </c>
      <c r="Q34" s="23"/>
      <c r="R34" s="23"/>
      <c r="S34" s="21"/>
      <c r="T34" s="21"/>
      <c r="U34" s="21"/>
      <c r="V34" s="16" t="str">
        <f>""&amp;TEXT(I34,"0,0")&amp;" авт. х "&amp;TEXT(I34,"0,0")&amp;" раз х "&amp;TEXT(ROUND((K34),2),"0 000,00")&amp;" руб. = "&amp;TEXT(ROUND((M34),2),"0 000,00")&amp;" руб. = "&amp;TEXT(O34,"0 000,00")&amp;" руб."</f>
        <v>1,0 авт. х 1,0 раз х 112 380,06 руб. = 112 380,00 руб. = 112 380,00 руб.</v>
      </c>
    </row>
    <row r="35" spans="1:22" s="2" customFormat="1" ht="20.25" x14ac:dyDescent="0.25">
      <c r="A35" s="6" t="s">
        <v>49</v>
      </c>
      <c r="B35" s="18" t="s">
        <v>50</v>
      </c>
      <c r="C35" s="17"/>
      <c r="D35" s="19">
        <v>225</v>
      </c>
      <c r="E35" s="19">
        <v>244</v>
      </c>
      <c r="F35" s="20" t="s">
        <v>51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1">
        <f>O36</f>
        <v>1570</v>
      </c>
      <c r="T35" s="21">
        <f>O37</f>
        <v>1630</v>
      </c>
      <c r="U35" s="21">
        <f>O38</f>
        <v>1700</v>
      </c>
      <c r="V35" s="16"/>
    </row>
    <row r="36" spans="1:22" s="2" customFormat="1" ht="20.25" x14ac:dyDescent="0.25">
      <c r="A36" s="6"/>
      <c r="B36" s="22"/>
      <c r="C36" s="17"/>
      <c r="D36" s="8"/>
      <c r="E36" s="8"/>
      <c r="F36" s="10" t="str">
        <f>F14</f>
        <v>норматив на 2026 год :</v>
      </c>
      <c r="G36" s="24">
        <v>1</v>
      </c>
      <c r="H36" s="24" t="s">
        <v>47</v>
      </c>
      <c r="I36" s="28">
        <v>1</v>
      </c>
      <c r="J36" s="24" t="s">
        <v>52</v>
      </c>
      <c r="K36" s="24">
        <f>ROUNDUP(1215.02*(1.0822*1.0487*1.0495*1.0416*1.0391),2)</f>
        <v>1566.33</v>
      </c>
      <c r="L36" s="24" t="s">
        <v>20</v>
      </c>
      <c r="M36" s="24">
        <f>ROUND((G36*I36*K36),2)</f>
        <v>1566.33</v>
      </c>
      <c r="N36" s="24" t="s">
        <v>20</v>
      </c>
      <c r="O36" s="23">
        <f>ROUNDUP((M36),-1)</f>
        <v>1570</v>
      </c>
      <c r="P36" s="23" t="s">
        <v>21</v>
      </c>
      <c r="Q36" s="27"/>
      <c r="R36" s="27"/>
      <c r="S36" s="21"/>
      <c r="T36" s="21"/>
      <c r="U36" s="21"/>
      <c r="V36" s="16" t="str">
        <f>""&amp;TEXT(G36,"0,0")&amp;" авт. х "&amp;TEXT(I36,"0,0")&amp;" раз х "&amp;TEXT(ROUND((K36),2),"0 000,00")&amp;" руб. = "&amp;TEXT(ROUND((M36),2),"0 000,00")&amp;" руб. = "&amp;TEXT(O36,"0 000,00")&amp;" руб."</f>
        <v>1,0 авт. х 1,0 раз х 1 566,33 руб. = 1 566,33 руб. = 1 570,00 руб.</v>
      </c>
    </row>
    <row r="37" spans="1:22" s="2" customFormat="1" ht="20.25" x14ac:dyDescent="0.25">
      <c r="A37" s="6"/>
      <c r="B37" s="22"/>
      <c r="C37" s="17"/>
      <c r="D37" s="8"/>
      <c r="E37" s="8"/>
      <c r="F37" s="10" t="str">
        <f>F15</f>
        <v>норматив на 2027 год :</v>
      </c>
      <c r="G37" s="24">
        <v>1</v>
      </c>
      <c r="H37" s="24" t="s">
        <v>47</v>
      </c>
      <c r="I37" s="28">
        <v>1</v>
      </c>
      <c r="J37" s="24" t="s">
        <v>52</v>
      </c>
      <c r="K37" s="24">
        <f>ROUNDUP(K36*(1.039),2)</f>
        <v>1627.42</v>
      </c>
      <c r="L37" s="24" t="s">
        <v>20</v>
      </c>
      <c r="M37" s="24">
        <f t="shared" ref="M37:M38" si="6">ROUND((G37*I37*K37),2)</f>
        <v>1627.42</v>
      </c>
      <c r="N37" s="24" t="s">
        <v>20</v>
      </c>
      <c r="O37" s="23">
        <f>ROUNDUP((M37),-1)</f>
        <v>1630</v>
      </c>
      <c r="P37" s="23" t="s">
        <v>21</v>
      </c>
      <c r="Q37" s="27"/>
      <c r="R37" s="27"/>
      <c r="S37" s="21"/>
      <c r="T37" s="21"/>
      <c r="U37" s="21"/>
      <c r="V37" s="16" t="str">
        <f>""&amp;TEXT(G37,"0,0")&amp;" авт. х "&amp;TEXT(I37,"0,0")&amp;" раз х "&amp;TEXT(ROUND((K37),2),"0 000,00")&amp;" руб. = "&amp;TEXT(ROUND((M37),2),"0 000,00")&amp;" руб. = "&amp;TEXT(O37,"0 000,00")&amp;" руб."</f>
        <v>1,0 авт. х 1,0 раз х 1 627,42 руб. = 1 627,42 руб. = 1 630,00 руб.</v>
      </c>
    </row>
    <row r="38" spans="1:22" s="2" customFormat="1" ht="20.25" x14ac:dyDescent="0.25">
      <c r="A38" s="6"/>
      <c r="B38" s="22"/>
      <c r="C38" s="17"/>
      <c r="D38" s="8"/>
      <c r="E38" s="8"/>
      <c r="F38" s="10" t="str">
        <f>F16</f>
        <v>норматив на 2028 год :</v>
      </c>
      <c r="G38" s="24">
        <v>1</v>
      </c>
      <c r="H38" s="24" t="s">
        <v>47</v>
      </c>
      <c r="I38" s="28">
        <v>1</v>
      </c>
      <c r="J38" s="24" t="s">
        <v>52</v>
      </c>
      <c r="K38" s="24">
        <f>ROUNDUP(K37*(1.039),2)</f>
        <v>1690.89</v>
      </c>
      <c r="L38" s="24" t="s">
        <v>20</v>
      </c>
      <c r="M38" s="24">
        <f t="shared" si="6"/>
        <v>1690.89</v>
      </c>
      <c r="N38" s="24" t="s">
        <v>20</v>
      </c>
      <c r="O38" s="23">
        <f>ROUNDUP((M38),-1)</f>
        <v>1700</v>
      </c>
      <c r="P38" s="23" t="s">
        <v>21</v>
      </c>
      <c r="Q38" s="23"/>
      <c r="R38" s="23"/>
      <c r="S38" s="26"/>
      <c r="T38" s="26"/>
      <c r="U38" s="26"/>
      <c r="V38" s="16" t="str">
        <f>""&amp;TEXT(G38,"0,0")&amp;" авт. х "&amp;TEXT(I38,"0,0")&amp;" раз х "&amp;TEXT(ROUND((K38),2),"0 000,00")&amp;" руб. = "&amp;TEXT(ROUND((M38),2),"0 000,00")&amp;" руб. = "&amp;TEXT(O38,"0 000,00")&amp;" руб."</f>
        <v>1,0 авт. х 1,0 раз х 1 690,89 руб. = 1 690,89 руб. = 1 700,00 руб.</v>
      </c>
    </row>
    <row r="39" spans="1:22" s="2" customFormat="1" ht="20.25" x14ac:dyDescent="0.25">
      <c r="A39" s="6" t="s">
        <v>53</v>
      </c>
      <c r="B39" s="18" t="s">
        <v>54</v>
      </c>
      <c r="C39" s="17"/>
      <c r="D39" s="19">
        <v>225</v>
      </c>
      <c r="E39" s="19">
        <v>244</v>
      </c>
      <c r="F39" s="20" t="s">
        <v>55</v>
      </c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1">
        <f>M40</f>
        <v>607190</v>
      </c>
      <c r="T39" s="21">
        <f>M41</f>
        <v>630870</v>
      </c>
      <c r="U39" s="21">
        <f>M42</f>
        <v>655470</v>
      </c>
      <c r="V39" s="16"/>
    </row>
    <row r="40" spans="1:22" s="2" customFormat="1" ht="20.25" x14ac:dyDescent="0.25">
      <c r="A40" s="6"/>
      <c r="B40" s="22"/>
      <c r="C40" s="17"/>
      <c r="D40" s="8"/>
      <c r="E40" s="26"/>
      <c r="F40" s="10" t="str">
        <f>F14</f>
        <v>норматив на 2026 год :</v>
      </c>
      <c r="G40" s="24">
        <v>1</v>
      </c>
      <c r="H40" s="24" t="s">
        <v>56</v>
      </c>
      <c r="I40" s="24">
        <f>ROUNDUP((584333.35)*(1.0391),2)</f>
        <v>607180.79</v>
      </c>
      <c r="J40" s="24" t="s">
        <v>20</v>
      </c>
      <c r="K40" s="24">
        <f>ROUND((G40*I40),2)</f>
        <v>607180.79</v>
      </c>
      <c r="L40" s="24" t="s">
        <v>20</v>
      </c>
      <c r="M40" s="23">
        <f>ROUNDUP((K40),-1)</f>
        <v>607190</v>
      </c>
      <c r="N40" s="23" t="s">
        <v>21</v>
      </c>
      <c r="O40" s="27"/>
      <c r="P40" s="10"/>
      <c r="Q40" s="27"/>
      <c r="R40" s="10"/>
      <c r="S40" s="21"/>
      <c r="T40" s="21"/>
      <c r="U40" s="21"/>
      <c r="V40" s="16" t="str">
        <f>""&amp;TEXT(G40,"0,0")&amp;" шт. х  "&amp;TEXT((I40),"0 000,00")&amp;" руб. = "&amp;TEXT((K40),"0 000,00")&amp;" руб. = "&amp;TEXT(M40,"0 000,00")&amp;" руб."</f>
        <v>1,0 шт. х  607 180,79 руб. = 607 180,79 руб. = 607 190,00 руб.</v>
      </c>
    </row>
    <row r="41" spans="1:22" s="2" customFormat="1" ht="20.25" x14ac:dyDescent="0.25">
      <c r="A41" s="6"/>
      <c r="B41" s="22"/>
      <c r="C41" s="17"/>
      <c r="D41" s="8"/>
      <c r="E41" s="26"/>
      <c r="F41" s="10" t="str">
        <f>F15</f>
        <v>норматив на 2027 год :</v>
      </c>
      <c r="G41" s="24">
        <v>1</v>
      </c>
      <c r="H41" s="24" t="s">
        <v>56</v>
      </c>
      <c r="I41" s="24">
        <f>ROUNDUP(I40*(1.039),2)</f>
        <v>630860.85</v>
      </c>
      <c r="J41" s="24" t="s">
        <v>20</v>
      </c>
      <c r="K41" s="24">
        <f t="shared" ref="K41:K42" si="7">ROUND((G41*I41),2)</f>
        <v>630860.85</v>
      </c>
      <c r="L41" s="24" t="s">
        <v>20</v>
      </c>
      <c r="M41" s="23">
        <f>ROUNDUP((K41),-1)</f>
        <v>630870</v>
      </c>
      <c r="N41" s="23" t="s">
        <v>21</v>
      </c>
      <c r="O41" s="27"/>
      <c r="P41" s="10"/>
      <c r="Q41" s="27"/>
      <c r="R41" s="10"/>
      <c r="S41" s="21"/>
      <c r="T41" s="21"/>
      <c r="U41" s="21"/>
      <c r="V41" s="16" t="str">
        <f t="shared" ref="V41:V42" si="8">""&amp;TEXT(G41,"0,0")&amp;" шт. х  "&amp;TEXT((I41),"0 000,00")&amp;" руб. = "&amp;TEXT((K41),"0 000,00")&amp;" руб. = "&amp;TEXT(M41,"0 000,00")&amp;" руб."</f>
        <v>1,0 шт. х  630 860,85 руб. = 630 860,85 руб. = 630 870,00 руб.</v>
      </c>
    </row>
    <row r="42" spans="1:22" s="2" customFormat="1" ht="20.25" x14ac:dyDescent="0.25">
      <c r="A42" s="6"/>
      <c r="B42" s="22"/>
      <c r="C42" s="17"/>
      <c r="D42" s="8"/>
      <c r="E42" s="26"/>
      <c r="F42" s="10" t="str">
        <f>F16</f>
        <v>норматив на 2028 год :</v>
      </c>
      <c r="G42" s="24">
        <v>1</v>
      </c>
      <c r="H42" s="24" t="s">
        <v>56</v>
      </c>
      <c r="I42" s="24">
        <f>ROUNDUP(I41*(1.039),2)</f>
        <v>655464.43000000005</v>
      </c>
      <c r="J42" s="24" t="s">
        <v>20</v>
      </c>
      <c r="K42" s="24">
        <f t="shared" si="7"/>
        <v>655464.43000000005</v>
      </c>
      <c r="L42" s="24" t="s">
        <v>20</v>
      </c>
      <c r="M42" s="23">
        <f>ROUNDUP((K42),-1)</f>
        <v>655470</v>
      </c>
      <c r="N42" s="23" t="s">
        <v>21</v>
      </c>
      <c r="O42" s="23"/>
      <c r="P42" s="10"/>
      <c r="Q42" s="23"/>
      <c r="R42" s="10"/>
      <c r="S42" s="26"/>
      <c r="T42" s="26"/>
      <c r="U42" s="26"/>
      <c r="V42" s="16" t="str">
        <f t="shared" si="8"/>
        <v>1,0 шт. х  655 464,43 руб. = 655 464,43 руб. = 655 470,00 руб.</v>
      </c>
    </row>
    <row r="43" spans="1:22" s="2" customFormat="1" ht="20.25" x14ac:dyDescent="0.25">
      <c r="A43" s="6" t="s">
        <v>57</v>
      </c>
      <c r="B43" s="18" t="s">
        <v>58</v>
      </c>
      <c r="C43" s="17"/>
      <c r="D43" s="19">
        <v>225</v>
      </c>
      <c r="E43" s="19">
        <v>244</v>
      </c>
      <c r="F43" s="20" t="s">
        <v>59</v>
      </c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1">
        <f>M44</f>
        <v>54840</v>
      </c>
      <c r="T43" s="21">
        <f>M45</f>
        <v>57030</v>
      </c>
      <c r="U43" s="21">
        <f>M46</f>
        <v>59310</v>
      </c>
      <c r="V43" s="16"/>
    </row>
    <row r="44" spans="1:22" s="2" customFormat="1" ht="20.25" x14ac:dyDescent="0.25">
      <c r="A44" s="6"/>
      <c r="B44" s="22"/>
      <c r="C44" s="17"/>
      <c r="D44" s="8"/>
      <c r="E44" s="26"/>
      <c r="F44" s="10" t="str">
        <f>F14</f>
        <v>норматив на 2026 год :</v>
      </c>
      <c r="G44" s="24">
        <v>8760</v>
      </c>
      <c r="H44" s="24" t="s">
        <v>60</v>
      </c>
      <c r="I44" s="24">
        <f>ROUNDUP(5.25*(1.0487*1.0495*1.0416*1.0391),2)</f>
        <v>6.26</v>
      </c>
      <c r="J44" s="24" t="s">
        <v>20</v>
      </c>
      <c r="K44" s="24">
        <f>ROUND((I44*G44),2)</f>
        <v>54837.599999999999</v>
      </c>
      <c r="L44" s="24" t="s">
        <v>20</v>
      </c>
      <c r="M44" s="23">
        <f>ROUNDUP((K44),-1)</f>
        <v>54840</v>
      </c>
      <c r="N44" s="23" t="s">
        <v>21</v>
      </c>
      <c r="O44" s="23"/>
      <c r="P44" s="23"/>
      <c r="Q44" s="27"/>
      <c r="R44" s="27"/>
      <c r="S44" s="21"/>
      <c r="T44" s="21"/>
      <c r="U44" s="21"/>
      <c r="V44" s="16" t="str">
        <f>""&amp;TEXT(G44,"0,0")&amp;" час. х "&amp;TEXT(I44,"0,00")&amp;" = "&amp;TEXT(ROUND((K44),2),"0 000,00")&amp;" руб. = "&amp;TEXT(ROUND(((M44)),2),"0 000,00")&amp;" руб."</f>
        <v>8760,0 час. х 6,26 = 54 837,60 руб. = 54 840,00 руб.</v>
      </c>
    </row>
    <row r="45" spans="1:22" s="2" customFormat="1" ht="20.25" x14ac:dyDescent="0.25">
      <c r="A45" s="6"/>
      <c r="B45" s="22"/>
      <c r="C45" s="17"/>
      <c r="D45" s="8"/>
      <c r="E45" s="26"/>
      <c r="F45" s="10" t="str">
        <f>F15</f>
        <v>норматив на 2027 год :</v>
      </c>
      <c r="G45" s="24">
        <v>8760</v>
      </c>
      <c r="H45" s="24" t="s">
        <v>60</v>
      </c>
      <c r="I45" s="24">
        <f>ROUNDUP(I44*(1.039),2)</f>
        <v>6.51</v>
      </c>
      <c r="J45" s="24" t="s">
        <v>20</v>
      </c>
      <c r="K45" s="24">
        <f t="shared" ref="K45:K46" si="9">ROUND((I45*G45),2)</f>
        <v>57027.6</v>
      </c>
      <c r="L45" s="24" t="s">
        <v>20</v>
      </c>
      <c r="M45" s="23">
        <f>ROUNDUP((K45),-1)</f>
        <v>57030</v>
      </c>
      <c r="N45" s="23" t="s">
        <v>21</v>
      </c>
      <c r="O45" s="23"/>
      <c r="P45" s="23"/>
      <c r="Q45" s="27"/>
      <c r="R45" s="27"/>
      <c r="S45" s="21"/>
      <c r="T45" s="21"/>
      <c r="U45" s="21"/>
      <c r="V45" s="16" t="str">
        <f t="shared" ref="V45:V46" si="10">""&amp;TEXT(G45,"0,0")&amp;" час. х "&amp;TEXT(I45,"0,00")&amp;" = "&amp;TEXT(ROUND((K45),2),"0 000,00")&amp;" руб. = "&amp;TEXT(ROUND(((M45)),2),"0 000,00")&amp;" руб."</f>
        <v>8760,0 час. х 6,51 = 57 027,60 руб. = 57 030,00 руб.</v>
      </c>
    </row>
    <row r="46" spans="1:22" s="2" customFormat="1" ht="20.25" x14ac:dyDescent="0.25">
      <c r="A46" s="6"/>
      <c r="B46" s="22"/>
      <c r="C46" s="17"/>
      <c r="D46" s="8"/>
      <c r="E46" s="26"/>
      <c r="F46" s="10" t="str">
        <f>F16</f>
        <v>норматив на 2028 год :</v>
      </c>
      <c r="G46" s="24">
        <v>8760</v>
      </c>
      <c r="H46" s="24" t="s">
        <v>60</v>
      </c>
      <c r="I46" s="24">
        <f>ROUNDUP(I45*(1.039),2)</f>
        <v>6.77</v>
      </c>
      <c r="J46" s="24" t="s">
        <v>20</v>
      </c>
      <c r="K46" s="24">
        <f t="shared" si="9"/>
        <v>59305.2</v>
      </c>
      <c r="L46" s="24" t="s">
        <v>20</v>
      </c>
      <c r="M46" s="23">
        <f>ROUNDUP((K46),-1)</f>
        <v>59310</v>
      </c>
      <c r="N46" s="23" t="s">
        <v>21</v>
      </c>
      <c r="O46" s="23"/>
      <c r="P46" s="23"/>
      <c r="Q46" s="23"/>
      <c r="R46" s="23"/>
      <c r="S46" s="26"/>
      <c r="T46" s="26"/>
      <c r="U46" s="26"/>
      <c r="V46" s="16" t="str">
        <f t="shared" si="10"/>
        <v>8760,0 час. х 6,77 = 59 305,20 руб. = 59 310,00 руб.</v>
      </c>
    </row>
    <row r="47" spans="1:22" s="2" customFormat="1" ht="20.25" x14ac:dyDescent="0.25">
      <c r="A47" s="6" t="s">
        <v>61</v>
      </c>
      <c r="B47" s="18" t="s">
        <v>62</v>
      </c>
      <c r="C47" s="17"/>
      <c r="D47" s="19">
        <v>225</v>
      </c>
      <c r="E47" s="19">
        <v>244</v>
      </c>
      <c r="F47" s="20" t="s">
        <v>51</v>
      </c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1">
        <f>O48</f>
        <v>7630</v>
      </c>
      <c r="T47" s="21">
        <f>O49</f>
        <v>7930</v>
      </c>
      <c r="U47" s="21">
        <f>O50</f>
        <v>8240</v>
      </c>
      <c r="V47" s="16"/>
    </row>
    <row r="48" spans="1:22" s="2" customFormat="1" ht="20.25" x14ac:dyDescent="0.25">
      <c r="A48" s="6"/>
      <c r="B48" s="22"/>
      <c r="C48" s="17"/>
      <c r="D48" s="8"/>
      <c r="E48" s="26"/>
      <c r="F48" s="10" t="str">
        <f>F14</f>
        <v>норматив на 2026 год :</v>
      </c>
      <c r="G48" s="24">
        <v>1</v>
      </c>
      <c r="H48" s="24" t="s">
        <v>63</v>
      </c>
      <c r="I48" s="29">
        <v>4</v>
      </c>
      <c r="J48" s="24" t="s">
        <v>64</v>
      </c>
      <c r="K48" s="24">
        <f>ROUNDUP(1479.08*(1.0822*1.0487*1.0495*1.0416*1.0391),2)</f>
        <v>1906.74</v>
      </c>
      <c r="L48" s="24" t="s">
        <v>20</v>
      </c>
      <c r="M48" s="24">
        <f>ROUND((G48*I48*K48),2)</f>
        <v>7626.96</v>
      </c>
      <c r="N48" s="24" t="s">
        <v>20</v>
      </c>
      <c r="O48" s="23">
        <f>ROUNDUP((M48),-1)</f>
        <v>7630</v>
      </c>
      <c r="P48" s="23" t="s">
        <v>21</v>
      </c>
      <c r="Q48" s="23"/>
      <c r="R48" s="23"/>
      <c r="S48" s="21"/>
      <c r="T48" s="21"/>
      <c r="U48" s="21"/>
      <c r="V48" s="16" t="str">
        <f>""&amp;TEXT(G48,"0,0")&amp;" шт. х "&amp;TEXT(I48,"0,0")&amp;" раза х "&amp;TEXT(ROUND((K48),2),"0 000,00")&amp;" руб. = "&amp;TEXT(ROUND(((M48)),2),"0 000,00")&amp;" руб. = "&amp;TEXT(O48,"0 000,00")&amp;" руб."</f>
        <v>1,0 шт. х 4,0 раза х 1 906,74 руб. = 7 626,96 руб. = 7 630,00 руб.</v>
      </c>
    </row>
    <row r="49" spans="1:22" s="2" customFormat="1" ht="20.25" x14ac:dyDescent="0.25">
      <c r="A49" s="6"/>
      <c r="B49" s="22"/>
      <c r="C49" s="17"/>
      <c r="D49" s="8"/>
      <c r="E49" s="26"/>
      <c r="F49" s="10" t="str">
        <f>F15</f>
        <v>норматив на 2027 год :</v>
      </c>
      <c r="G49" s="24">
        <v>1</v>
      </c>
      <c r="H49" s="24" t="s">
        <v>63</v>
      </c>
      <c r="I49" s="29">
        <v>4</v>
      </c>
      <c r="J49" s="24" t="s">
        <v>64</v>
      </c>
      <c r="K49" s="24">
        <f>ROUNDUP(K48*(1.039),2)</f>
        <v>1981.11</v>
      </c>
      <c r="L49" s="24" t="s">
        <v>20</v>
      </c>
      <c r="M49" s="24">
        <f t="shared" ref="M49:M50" si="11">ROUND((G49*I49*K49),2)</f>
        <v>7924.44</v>
      </c>
      <c r="N49" s="24" t="s">
        <v>20</v>
      </c>
      <c r="O49" s="23">
        <f>ROUNDUP((M49),-1)</f>
        <v>7930</v>
      </c>
      <c r="P49" s="23" t="s">
        <v>21</v>
      </c>
      <c r="Q49" s="23"/>
      <c r="R49" s="23"/>
      <c r="S49" s="21"/>
      <c r="T49" s="21"/>
      <c r="U49" s="21"/>
      <c r="V49" s="16" t="str">
        <f>""&amp;TEXT(G49,"0,0")&amp;" шт. х "&amp;TEXT(I49,"0,0")&amp;" раза х "&amp;TEXT(ROUND((K49),2),"0 000,00")&amp;" руб. = "&amp;TEXT(ROUND(((M49)),2),"0 000,00")&amp;" руб. = "&amp;TEXT(O49,"0 000,00")&amp;" руб."</f>
        <v>1,0 шт. х 4,0 раза х 1 981,11 руб. = 7 924,44 руб. = 7 930,00 руб.</v>
      </c>
    </row>
    <row r="50" spans="1:22" s="2" customFormat="1" ht="20.25" x14ac:dyDescent="0.25">
      <c r="A50" s="6"/>
      <c r="B50" s="22"/>
      <c r="C50" s="17"/>
      <c r="D50" s="8"/>
      <c r="E50" s="26"/>
      <c r="F50" s="10" t="str">
        <f>F16</f>
        <v>норматив на 2028 год :</v>
      </c>
      <c r="G50" s="24">
        <v>1</v>
      </c>
      <c r="H50" s="24" t="s">
        <v>63</v>
      </c>
      <c r="I50" s="29">
        <v>4</v>
      </c>
      <c r="J50" s="24" t="s">
        <v>64</v>
      </c>
      <c r="K50" s="24">
        <f>ROUNDUP(K49*(1.039),2)</f>
        <v>2058.38</v>
      </c>
      <c r="L50" s="24" t="s">
        <v>20</v>
      </c>
      <c r="M50" s="24">
        <f t="shared" si="11"/>
        <v>8233.52</v>
      </c>
      <c r="N50" s="24" t="s">
        <v>20</v>
      </c>
      <c r="O50" s="23">
        <f>ROUNDUP((M50),-1)</f>
        <v>8240</v>
      </c>
      <c r="P50" s="23" t="s">
        <v>21</v>
      </c>
      <c r="Q50" s="23"/>
      <c r="R50" s="23"/>
      <c r="S50" s="26"/>
      <c r="T50" s="26"/>
      <c r="U50" s="26"/>
      <c r="V50" s="16" t="str">
        <f>""&amp;TEXT(G50,"0,0")&amp;" шт. х "&amp;TEXT(I50,"0,0")&amp;" раза х "&amp;TEXT(ROUND((K50),2),"0 000,00")&amp;" руб. = "&amp;TEXT(ROUND(((M50)),2),"0 000,00")&amp;" руб. = "&amp;TEXT(O50,"0 000,00")&amp;" руб."</f>
        <v>1,0 шт. х 4,0 раза х 2 058,38 руб. = 8 233,52 руб. = 8 240,00 руб.</v>
      </c>
    </row>
    <row r="51" spans="1:22" s="2" customFormat="1" ht="20.25" x14ac:dyDescent="0.25">
      <c r="A51" s="6" t="s">
        <v>65</v>
      </c>
      <c r="B51" s="18" t="s">
        <v>66</v>
      </c>
      <c r="C51" s="17"/>
      <c r="D51" s="19">
        <v>225</v>
      </c>
      <c r="E51" s="19">
        <v>244</v>
      </c>
      <c r="F51" s="20" t="s">
        <v>51</v>
      </c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1">
        <f>O52</f>
        <v>81050</v>
      </c>
      <c r="T51" s="21">
        <f>O53</f>
        <v>84210</v>
      </c>
      <c r="U51" s="21">
        <f>O54</f>
        <v>87500</v>
      </c>
      <c r="V51" s="16"/>
    </row>
    <row r="52" spans="1:22" s="2" customFormat="1" ht="20.25" x14ac:dyDescent="0.25">
      <c r="A52" s="6"/>
      <c r="B52" s="22"/>
      <c r="C52" s="17"/>
      <c r="D52" s="8"/>
      <c r="E52" s="26"/>
      <c r="F52" s="10" t="str">
        <f>F14</f>
        <v>норматив на 2026 год :</v>
      </c>
      <c r="G52" s="24">
        <v>1</v>
      </c>
      <c r="H52" s="24" t="s">
        <v>41</v>
      </c>
      <c r="I52" s="29">
        <v>1</v>
      </c>
      <c r="J52" s="24" t="s">
        <v>64</v>
      </c>
      <c r="K52" s="24">
        <f>ROUNDUP(62868*(1.0822*1.0487*1.0495*1.0416*1.0391),2)</f>
        <v>81045.56</v>
      </c>
      <c r="L52" s="24" t="s">
        <v>20</v>
      </c>
      <c r="M52" s="24">
        <f>ROUND((G52*I52*K52),2)</f>
        <v>81045.56</v>
      </c>
      <c r="N52" s="24" t="s">
        <v>20</v>
      </c>
      <c r="O52" s="23">
        <f>ROUNDUP((M52),-1)</f>
        <v>81050</v>
      </c>
      <c r="P52" s="23" t="s">
        <v>21</v>
      </c>
      <c r="Q52" s="27"/>
      <c r="R52" s="10"/>
      <c r="S52" s="21"/>
      <c r="T52" s="21"/>
      <c r="U52" s="21"/>
      <c r="V52" s="16" t="str">
        <f>""&amp;TEXT(G52,"0,0")&amp;" у.ед. х "&amp;TEXT(I52,"0,0")&amp;" раз х "&amp;TEXT(ROUND((K52),2),"0 000,00")&amp;" руб. = "&amp;TEXT(ROUND((M52),2),"0 000,00")&amp;" руб. = "&amp;TEXT(O52,"0 000,00")&amp;" руб."</f>
        <v>1,0 у.ед. х 1,0 раз х 81 045,56 руб. = 81 045,56 руб. = 81 050,00 руб.</v>
      </c>
    </row>
    <row r="53" spans="1:22" s="2" customFormat="1" ht="20.25" x14ac:dyDescent="0.25">
      <c r="A53" s="6"/>
      <c r="B53" s="22"/>
      <c r="C53" s="17"/>
      <c r="D53" s="8"/>
      <c r="E53" s="26"/>
      <c r="F53" s="10" t="str">
        <f>F15</f>
        <v>норматив на 2027 год :</v>
      </c>
      <c r="G53" s="24">
        <v>1</v>
      </c>
      <c r="H53" s="24" t="s">
        <v>41</v>
      </c>
      <c r="I53" s="29">
        <v>1</v>
      </c>
      <c r="J53" s="24" t="s">
        <v>64</v>
      </c>
      <c r="K53" s="24">
        <f>ROUNDUP(K52*(1.039),2)</f>
        <v>84206.34</v>
      </c>
      <c r="L53" s="24" t="s">
        <v>20</v>
      </c>
      <c r="M53" s="24">
        <f t="shared" ref="M53:M54" si="12">ROUND((G53*I53*K53),2)</f>
        <v>84206.34</v>
      </c>
      <c r="N53" s="24" t="s">
        <v>20</v>
      </c>
      <c r="O53" s="23">
        <f>ROUNDUP((M53),-1)</f>
        <v>84210</v>
      </c>
      <c r="P53" s="23" t="s">
        <v>21</v>
      </c>
      <c r="Q53" s="27"/>
      <c r="R53" s="10"/>
      <c r="S53" s="21"/>
      <c r="T53" s="21"/>
      <c r="U53" s="21"/>
      <c r="V53" s="16" t="str">
        <f t="shared" ref="V53:V54" si="13">""&amp;TEXT(G53,"0,0")&amp;" у.ед. х "&amp;TEXT(I53,"0,0")&amp;" раз х "&amp;TEXT(ROUND((K53),2),"0 000,00")&amp;" руб. = "&amp;TEXT(ROUND((M53),2),"0 000,00")&amp;" руб. = "&amp;TEXT(O53,"0 000,00")&amp;" руб."</f>
        <v>1,0 у.ед. х 1,0 раз х 84 206,34 руб. = 84 206,34 руб. = 84 210,00 руб.</v>
      </c>
    </row>
    <row r="54" spans="1:22" s="2" customFormat="1" ht="20.25" x14ac:dyDescent="0.25">
      <c r="A54" s="6"/>
      <c r="B54" s="22"/>
      <c r="C54" s="17"/>
      <c r="D54" s="8"/>
      <c r="E54" s="26"/>
      <c r="F54" s="10" t="str">
        <f>F16</f>
        <v>норматив на 2028 год :</v>
      </c>
      <c r="G54" s="24">
        <v>1</v>
      </c>
      <c r="H54" s="24" t="s">
        <v>41</v>
      </c>
      <c r="I54" s="29">
        <v>1</v>
      </c>
      <c r="J54" s="24" t="s">
        <v>64</v>
      </c>
      <c r="K54" s="24">
        <f>ROUNDUP(K53*(1.039),2)</f>
        <v>87490.39</v>
      </c>
      <c r="L54" s="24" t="s">
        <v>20</v>
      </c>
      <c r="M54" s="24">
        <f t="shared" si="12"/>
        <v>87490.39</v>
      </c>
      <c r="N54" s="24" t="s">
        <v>20</v>
      </c>
      <c r="O54" s="23">
        <f>ROUNDUP((M54),-1)</f>
        <v>87500</v>
      </c>
      <c r="P54" s="23" t="s">
        <v>21</v>
      </c>
      <c r="Q54" s="23"/>
      <c r="R54" s="10"/>
      <c r="S54" s="26"/>
      <c r="T54" s="26"/>
      <c r="U54" s="26"/>
      <c r="V54" s="16" t="str">
        <f t="shared" si="13"/>
        <v>1,0 у.ед. х 1,0 раз х 87 490,39 руб. = 87 490,39 руб. = 87 500,00 руб.</v>
      </c>
    </row>
    <row r="55" spans="1:22" s="2" customFormat="1" ht="20.25" x14ac:dyDescent="0.25">
      <c r="A55" s="6" t="s">
        <v>67</v>
      </c>
      <c r="B55" s="18" t="s">
        <v>68</v>
      </c>
      <c r="C55" s="17"/>
      <c r="D55" s="19">
        <v>225</v>
      </c>
      <c r="E55" s="19">
        <v>244</v>
      </c>
      <c r="F55" s="20" t="s">
        <v>59</v>
      </c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1">
        <f>O56</f>
        <v>8290</v>
      </c>
      <c r="T55" s="21">
        <f>O57</f>
        <v>8610</v>
      </c>
      <c r="U55" s="21">
        <f>O58</f>
        <v>8950</v>
      </c>
      <c r="V55" s="16"/>
    </row>
    <row r="56" spans="1:22" s="2" customFormat="1" ht="20.25" x14ac:dyDescent="0.25">
      <c r="A56" s="6"/>
      <c r="B56" s="22"/>
      <c r="C56" s="17"/>
      <c r="D56" s="8"/>
      <c r="E56" s="26"/>
      <c r="F56" s="10" t="str">
        <f>F48</f>
        <v>норматив на 2026 год :</v>
      </c>
      <c r="G56" s="24">
        <v>61</v>
      </c>
      <c r="H56" s="24" t="s">
        <v>41</v>
      </c>
      <c r="I56" s="29">
        <v>1</v>
      </c>
      <c r="J56" s="24" t="s">
        <v>64</v>
      </c>
      <c r="K56" s="24">
        <f>ROUNDUP(114*(1.0487*1.0495*1.0416*1.0391),2)</f>
        <v>135.79999999999998</v>
      </c>
      <c r="L56" s="24" t="s">
        <v>20</v>
      </c>
      <c r="M56" s="24">
        <f>ROUND((G56*I56*K56),2)</f>
        <v>8283.7999999999993</v>
      </c>
      <c r="N56" s="24" t="s">
        <v>20</v>
      </c>
      <c r="O56" s="23">
        <f>ROUNDUP((M56),-1)</f>
        <v>8290</v>
      </c>
      <c r="P56" s="23" t="s">
        <v>21</v>
      </c>
      <c r="Q56" s="27"/>
      <c r="R56" s="10"/>
      <c r="S56" s="21"/>
      <c r="T56" s="21"/>
      <c r="U56" s="21"/>
      <c r="V56" s="16" t="str">
        <f>""&amp;TEXT($G$76,"0,0")&amp;" шт. х "&amp;TEXT($I$76,"0,0")&amp;" раз х "&amp;TEXT(ROUND((K56),2),"000,00")&amp;" руб. = "&amp;TEXT(ROUND((M56),2),"0 000,00")&amp;" руб. = "&amp;TEXT(O56,"0 000,00")&amp;" руб."</f>
        <v>1,0 шт. х 1,0 раз х 135,80 руб. = 8 283,80 руб. = 8 290,00 руб.</v>
      </c>
    </row>
    <row r="57" spans="1:22" s="2" customFormat="1" ht="20.25" x14ac:dyDescent="0.25">
      <c r="A57" s="6"/>
      <c r="B57" s="22"/>
      <c r="C57" s="17"/>
      <c r="D57" s="8"/>
      <c r="E57" s="26"/>
      <c r="F57" s="10" t="str">
        <f>F49</f>
        <v>норматив на 2027 год :</v>
      </c>
      <c r="G57" s="24">
        <v>61</v>
      </c>
      <c r="H57" s="24" t="s">
        <v>41</v>
      </c>
      <c r="I57" s="29">
        <v>1</v>
      </c>
      <c r="J57" s="24" t="s">
        <v>64</v>
      </c>
      <c r="K57" s="24">
        <f>ROUNDUP(K56*(1.039),2)</f>
        <v>141.1</v>
      </c>
      <c r="L57" s="24" t="s">
        <v>20</v>
      </c>
      <c r="M57" s="24">
        <f t="shared" ref="M57:M58" si="14">ROUND((G57*I57*K57),2)</f>
        <v>8607.1</v>
      </c>
      <c r="N57" s="24" t="s">
        <v>20</v>
      </c>
      <c r="O57" s="23">
        <f>ROUNDUP((M57),-1)</f>
        <v>8610</v>
      </c>
      <c r="P57" s="23" t="s">
        <v>21</v>
      </c>
      <c r="Q57" s="27"/>
      <c r="R57" s="10"/>
      <c r="S57" s="21"/>
      <c r="T57" s="21"/>
      <c r="U57" s="21"/>
      <c r="V57" s="16" t="str">
        <f>""&amp;TEXT($G$76,"0,0")&amp;" шт. х "&amp;TEXT($I$76,"0,0")&amp;" раз х "&amp;TEXT(ROUND((K57),2),"000,00")&amp;" руб. = "&amp;TEXT(ROUND((M57),2),"0 000,00")&amp;" руб. = "&amp;TEXT(O57,"0 000,00")&amp;" руб."</f>
        <v>1,0 шт. х 1,0 раз х 141,10 руб. = 8 607,10 руб. = 8 610,00 руб.</v>
      </c>
    </row>
    <row r="58" spans="1:22" s="2" customFormat="1" ht="20.25" x14ac:dyDescent="0.25">
      <c r="A58" s="6"/>
      <c r="B58" s="22"/>
      <c r="C58" s="17"/>
      <c r="D58" s="8"/>
      <c r="E58" s="26"/>
      <c r="F58" s="10" t="str">
        <f>F50</f>
        <v>норматив на 2028 год :</v>
      </c>
      <c r="G58" s="24">
        <v>61</v>
      </c>
      <c r="H58" s="24" t="s">
        <v>41</v>
      </c>
      <c r="I58" s="29">
        <v>1</v>
      </c>
      <c r="J58" s="24" t="s">
        <v>64</v>
      </c>
      <c r="K58" s="24">
        <f>ROUNDUP(K57*(1.039),2)</f>
        <v>146.60999999999999</v>
      </c>
      <c r="L58" s="24" t="s">
        <v>20</v>
      </c>
      <c r="M58" s="24">
        <f t="shared" si="14"/>
        <v>8943.2099999999991</v>
      </c>
      <c r="N58" s="24" t="s">
        <v>20</v>
      </c>
      <c r="O58" s="23">
        <f>ROUNDUP((M58),-1)</f>
        <v>8950</v>
      </c>
      <c r="P58" s="23" t="s">
        <v>21</v>
      </c>
      <c r="Q58" s="23"/>
      <c r="R58" s="10"/>
      <c r="S58" s="26"/>
      <c r="T58" s="26"/>
      <c r="U58" s="26"/>
      <c r="V58" s="16" t="str">
        <f>""&amp;TEXT($G$76,"0,0")&amp;" шт. х "&amp;TEXT($I$76,"0,0")&amp;" раз х "&amp;TEXT(ROUND((K58),2),"000,00")&amp;" руб. = "&amp;TEXT(ROUND((M58),2),"0 000,00")&amp;" руб. = "&amp;TEXT(O58,"0 000,00")&amp;" руб."</f>
        <v>1,0 шт. х 1,0 раз х 146,61 руб. = 8 943,21 руб. = 8 950,00 руб.</v>
      </c>
    </row>
    <row r="59" spans="1:22" s="2" customFormat="1" ht="30" customHeight="1" x14ac:dyDescent="0.25">
      <c r="A59" s="6" t="s">
        <v>69</v>
      </c>
      <c r="B59" s="18" t="s">
        <v>70</v>
      </c>
      <c r="C59" s="17"/>
      <c r="D59" s="19">
        <v>225</v>
      </c>
      <c r="E59" s="19">
        <v>244</v>
      </c>
      <c r="F59" s="20" t="s">
        <v>55</v>
      </c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1">
        <f>O60</f>
        <v>196340</v>
      </c>
      <c r="T59" s="21">
        <f>O61</f>
        <v>203990</v>
      </c>
      <c r="U59" s="21">
        <f>O62</f>
        <v>211950</v>
      </c>
      <c r="V59" s="16"/>
    </row>
    <row r="60" spans="1:22" s="2" customFormat="1" ht="20.25" x14ac:dyDescent="0.25">
      <c r="A60" s="6"/>
      <c r="B60" s="22"/>
      <c r="C60" s="17"/>
      <c r="D60" s="8"/>
      <c r="E60" s="26"/>
      <c r="F60" s="10" t="str">
        <f>F14</f>
        <v>норматив на 2026 год :</v>
      </c>
      <c r="G60" s="24">
        <v>54</v>
      </c>
      <c r="H60" s="24" t="s">
        <v>41</v>
      </c>
      <c r="I60" s="29">
        <v>1</v>
      </c>
      <c r="J60" s="24" t="s">
        <v>64</v>
      </c>
      <c r="K60" s="24">
        <f>ROUNDUP(3498.95*1.0391,2)</f>
        <v>3635.76</v>
      </c>
      <c r="L60" s="24" t="s">
        <v>20</v>
      </c>
      <c r="M60" s="24">
        <f>ROUND((G60*I60*K60),2)</f>
        <v>196331.04</v>
      </c>
      <c r="N60" s="24" t="s">
        <v>21</v>
      </c>
      <c r="O60" s="23">
        <f>ROUNDUP((M60),-1)</f>
        <v>196340</v>
      </c>
      <c r="P60" s="23" t="s">
        <v>21</v>
      </c>
      <c r="Q60" s="27"/>
      <c r="R60" s="10"/>
      <c r="S60" s="21"/>
      <c r="T60" s="21"/>
      <c r="U60" s="21"/>
      <c r="V60" s="16" t="str">
        <f t="shared" ref="V60:V62" si="15">""&amp;TEXT(G60,"0,0")&amp;" у.ед. х "&amp;TEXT(I60,"0,0")&amp;" раз х "&amp;TEXT(ROUND((K60),2),"0 000,00")&amp;" руб. = "&amp;TEXT(ROUND((M60),2),"0 000,00")&amp;" руб. = "&amp;TEXT(O60,"0 000,00")&amp;" руб."</f>
        <v>54,0 у.ед. х 1,0 раз х 3 635,76 руб. = 196 331,04 руб. = 196 340,00 руб.</v>
      </c>
    </row>
    <row r="61" spans="1:22" s="2" customFormat="1" ht="20.25" x14ac:dyDescent="0.25">
      <c r="A61" s="6"/>
      <c r="B61" s="22"/>
      <c r="C61" s="17"/>
      <c r="D61" s="8"/>
      <c r="E61" s="26"/>
      <c r="F61" s="10" t="str">
        <f>F15</f>
        <v>норматив на 2027 год :</v>
      </c>
      <c r="G61" s="24">
        <v>54</v>
      </c>
      <c r="H61" s="24" t="s">
        <v>41</v>
      </c>
      <c r="I61" s="29">
        <v>1</v>
      </c>
      <c r="J61" s="24" t="s">
        <v>64</v>
      </c>
      <c r="K61" s="24">
        <f>ROUNDUP(K60*(1.039),2)</f>
        <v>3777.5600000000004</v>
      </c>
      <c r="L61" s="24" t="s">
        <v>20</v>
      </c>
      <c r="M61" s="24">
        <f t="shared" ref="M61:M62" si="16">ROUND((G61*I61*K61),2)</f>
        <v>203988.24</v>
      </c>
      <c r="N61" s="24" t="s">
        <v>21</v>
      </c>
      <c r="O61" s="23">
        <f t="shared" ref="O61:O62" si="17">ROUNDUP((M61),-1)</f>
        <v>203990</v>
      </c>
      <c r="P61" s="23" t="s">
        <v>21</v>
      </c>
      <c r="Q61" s="27"/>
      <c r="R61" s="10"/>
      <c r="S61" s="21"/>
      <c r="T61" s="21"/>
      <c r="U61" s="21"/>
      <c r="V61" s="16" t="str">
        <f t="shared" si="15"/>
        <v>54,0 у.ед. х 1,0 раз х 3 777,56 руб. = 203 988,24 руб. = 203 990,00 руб.</v>
      </c>
    </row>
    <row r="62" spans="1:22" s="2" customFormat="1" ht="20.25" x14ac:dyDescent="0.25">
      <c r="A62" s="6"/>
      <c r="B62" s="22"/>
      <c r="C62" s="17"/>
      <c r="D62" s="8"/>
      <c r="E62" s="26"/>
      <c r="F62" s="10" t="str">
        <f>F16</f>
        <v>норматив на 2028 год :</v>
      </c>
      <c r="G62" s="24">
        <v>54</v>
      </c>
      <c r="H62" s="24" t="s">
        <v>41</v>
      </c>
      <c r="I62" s="29">
        <v>1</v>
      </c>
      <c r="J62" s="24" t="s">
        <v>64</v>
      </c>
      <c r="K62" s="24">
        <f>ROUNDUP(K61*(1.039),2)</f>
        <v>3924.8900000000003</v>
      </c>
      <c r="L62" s="24" t="s">
        <v>20</v>
      </c>
      <c r="M62" s="24">
        <f t="shared" si="16"/>
        <v>211944.06</v>
      </c>
      <c r="N62" s="24" t="s">
        <v>21</v>
      </c>
      <c r="O62" s="23">
        <f t="shared" si="17"/>
        <v>211950</v>
      </c>
      <c r="P62" s="23" t="s">
        <v>21</v>
      </c>
      <c r="Q62" s="23"/>
      <c r="R62" s="10"/>
      <c r="S62" s="26"/>
      <c r="T62" s="26"/>
      <c r="U62" s="26"/>
      <c r="V62" s="16" t="str">
        <f t="shared" si="15"/>
        <v>54,0 у.ед. х 1,0 раз х 3 924,89 руб. = 211 944,06 руб. = 211 950,00 руб.</v>
      </c>
    </row>
    <row r="63" spans="1:22" s="2" customFormat="1" ht="30" customHeight="1" x14ac:dyDescent="0.25">
      <c r="A63" s="6" t="s">
        <v>71</v>
      </c>
      <c r="B63" s="18" t="s">
        <v>72</v>
      </c>
      <c r="C63" s="17"/>
      <c r="D63" s="19">
        <v>225</v>
      </c>
      <c r="E63" s="19">
        <v>244</v>
      </c>
      <c r="F63" s="20" t="s">
        <v>55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1">
        <f>O64</f>
        <v>11650</v>
      </c>
      <c r="T63" s="21">
        <f>O65</f>
        <v>12110</v>
      </c>
      <c r="U63" s="21">
        <f>O66</f>
        <v>12580</v>
      </c>
      <c r="V63" s="16"/>
    </row>
    <row r="64" spans="1:22" s="2" customFormat="1" ht="20.25" x14ac:dyDescent="0.25">
      <c r="A64" s="6"/>
      <c r="B64" s="22"/>
      <c r="C64" s="17"/>
      <c r="D64" s="8"/>
      <c r="E64" s="26"/>
      <c r="F64" s="10" t="str">
        <f>F60</f>
        <v>норматив на 2026 год :</v>
      </c>
      <c r="G64" s="24">
        <v>1</v>
      </c>
      <c r="H64" s="24" t="s">
        <v>41</v>
      </c>
      <c r="I64" s="29">
        <v>1</v>
      </c>
      <c r="J64" s="24" t="s">
        <v>64</v>
      </c>
      <c r="K64" s="24">
        <v>11649.71</v>
      </c>
      <c r="L64" s="24" t="s">
        <v>20</v>
      </c>
      <c r="M64" s="24">
        <f>ROUND((G64*I64*K64),2)</f>
        <v>11649.71</v>
      </c>
      <c r="N64" s="24" t="s">
        <v>21</v>
      </c>
      <c r="O64" s="23">
        <f>ROUNDUP((M64),-1)</f>
        <v>11650</v>
      </c>
      <c r="P64" s="23" t="s">
        <v>21</v>
      </c>
      <c r="Q64" s="27"/>
      <c r="R64" s="10"/>
      <c r="S64" s="21"/>
      <c r="T64" s="21"/>
      <c r="U64" s="21"/>
      <c r="V64" s="16" t="str">
        <f t="shared" ref="V64:V66" si="18">""&amp;TEXT(G64,"0,0")&amp;" у.ед. х "&amp;TEXT(I64,"0,0")&amp;" раз х "&amp;TEXT(ROUND((K64),2),"0 000,00")&amp;" руб. = "&amp;TEXT(ROUND((M64),2),"0 000,00")&amp;" руб. = "&amp;TEXT(O64,"0 000,00")&amp;" руб."</f>
        <v>1,0 у.ед. х 1,0 раз х 11 649,71 руб. = 11 649,71 руб. = 11 650,00 руб.</v>
      </c>
    </row>
    <row r="65" spans="1:22" s="2" customFormat="1" ht="20.25" x14ac:dyDescent="0.25">
      <c r="A65" s="6"/>
      <c r="B65" s="22"/>
      <c r="C65" s="17"/>
      <c r="D65" s="8"/>
      <c r="E65" s="26"/>
      <c r="F65" s="10" t="str">
        <f t="shared" ref="F65:F66" si="19">F61</f>
        <v>норматив на 2027 год :</v>
      </c>
      <c r="G65" s="24">
        <v>1</v>
      </c>
      <c r="H65" s="24" t="s">
        <v>41</v>
      </c>
      <c r="I65" s="29">
        <v>1</v>
      </c>
      <c r="J65" s="24" t="s">
        <v>64</v>
      </c>
      <c r="K65" s="24">
        <f>ROUNDUP(K64*(1.039),2)</f>
        <v>12104.050000000001</v>
      </c>
      <c r="L65" s="24" t="s">
        <v>20</v>
      </c>
      <c r="M65" s="24">
        <f t="shared" ref="M65:M66" si="20">ROUND((G65*I65*K65),2)</f>
        <v>12104.05</v>
      </c>
      <c r="N65" s="24" t="s">
        <v>21</v>
      </c>
      <c r="O65" s="23">
        <f t="shared" ref="O65:O66" si="21">ROUNDUP((M65),-1)</f>
        <v>12110</v>
      </c>
      <c r="P65" s="23" t="s">
        <v>21</v>
      </c>
      <c r="Q65" s="27"/>
      <c r="R65" s="10"/>
      <c r="S65" s="21"/>
      <c r="T65" s="21"/>
      <c r="U65" s="21"/>
      <c r="V65" s="16" t="str">
        <f t="shared" si="18"/>
        <v>1,0 у.ед. х 1,0 раз х 12 104,05 руб. = 12 104,05 руб. = 12 110,00 руб.</v>
      </c>
    </row>
    <row r="66" spans="1:22" s="2" customFormat="1" ht="20.25" x14ac:dyDescent="0.25">
      <c r="A66" s="6"/>
      <c r="B66" s="22"/>
      <c r="C66" s="17"/>
      <c r="D66" s="8"/>
      <c r="E66" s="26"/>
      <c r="F66" s="10" t="str">
        <f t="shared" si="19"/>
        <v>норматив на 2028 год :</v>
      </c>
      <c r="G66" s="24">
        <v>1</v>
      </c>
      <c r="H66" s="24" t="s">
        <v>41</v>
      </c>
      <c r="I66" s="29">
        <v>1</v>
      </c>
      <c r="J66" s="24" t="s">
        <v>64</v>
      </c>
      <c r="K66" s="24">
        <f>ROUNDUP(K65*(1.039),2)</f>
        <v>12576.11</v>
      </c>
      <c r="L66" s="24" t="s">
        <v>20</v>
      </c>
      <c r="M66" s="24">
        <f t="shared" si="20"/>
        <v>12576.11</v>
      </c>
      <c r="N66" s="24" t="s">
        <v>21</v>
      </c>
      <c r="O66" s="23">
        <f t="shared" si="21"/>
        <v>12580</v>
      </c>
      <c r="P66" s="23" t="s">
        <v>21</v>
      </c>
      <c r="Q66" s="23"/>
      <c r="R66" s="10"/>
      <c r="S66" s="26"/>
      <c r="T66" s="26"/>
      <c r="U66" s="26"/>
      <c r="V66" s="16" t="str">
        <f t="shared" si="18"/>
        <v>1,0 у.ед. х 1,0 раз х 12 576,11 руб. = 12 576,11 руб. = 12 580,00 руб.</v>
      </c>
    </row>
    <row r="67" spans="1:22" s="2" customFormat="1" ht="30" customHeight="1" x14ac:dyDescent="0.25">
      <c r="A67" s="6" t="s">
        <v>73</v>
      </c>
      <c r="B67" s="18" t="s">
        <v>74</v>
      </c>
      <c r="C67" s="17"/>
      <c r="D67" s="19">
        <v>225</v>
      </c>
      <c r="E67" s="19">
        <v>244</v>
      </c>
      <c r="F67" s="20" t="s">
        <v>55</v>
      </c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1">
        <f>O68</f>
        <v>1290</v>
      </c>
      <c r="T67" s="21">
        <f>O69</f>
        <v>1340</v>
      </c>
      <c r="U67" s="21">
        <f>O70</f>
        <v>1390</v>
      </c>
      <c r="V67" s="16"/>
    </row>
    <row r="68" spans="1:22" s="2" customFormat="1" ht="20.25" x14ac:dyDescent="0.25">
      <c r="A68" s="6"/>
      <c r="B68" s="22"/>
      <c r="C68" s="17"/>
      <c r="D68" s="8"/>
      <c r="E68" s="26"/>
      <c r="F68" s="10" t="str">
        <f>F60</f>
        <v>норматив на 2026 год :</v>
      </c>
      <c r="G68" s="24">
        <v>50</v>
      </c>
      <c r="H68" s="24" t="s">
        <v>41</v>
      </c>
      <c r="I68" s="29">
        <v>1</v>
      </c>
      <c r="J68" s="24" t="s">
        <v>64</v>
      </c>
      <c r="K68" s="24">
        <v>25.67</v>
      </c>
      <c r="L68" s="24" t="s">
        <v>20</v>
      </c>
      <c r="M68" s="24">
        <f>ROUND((G68*I68*K68),2)</f>
        <v>1283.5</v>
      </c>
      <c r="N68" s="24" t="s">
        <v>21</v>
      </c>
      <c r="O68" s="23">
        <f>ROUNDUP((M68),-1)</f>
        <v>1290</v>
      </c>
      <c r="P68" s="23" t="s">
        <v>21</v>
      </c>
      <c r="Q68" s="27"/>
      <c r="R68" s="10"/>
      <c r="S68" s="21"/>
      <c r="T68" s="21"/>
      <c r="U68" s="21"/>
      <c r="V68" s="16" t="str">
        <f>""&amp;TEXT(G68,"0,0")&amp;" у.ед. х "&amp;TEXT(I68,"0,0")&amp;" раз х "&amp;TEXT(ROUND((K68),2)," 00,00")&amp;" руб. = "&amp;TEXT(ROUND((M68),2)," 000,00")&amp;" руб. = "&amp;TEXT(O68," 000,00")&amp;" руб."</f>
        <v>50,0 у.ед. х 1,0 раз х  25,67 руб. =  1283,50 руб. =  1290,00 руб.</v>
      </c>
    </row>
    <row r="69" spans="1:22" s="2" customFormat="1" ht="20.25" x14ac:dyDescent="0.25">
      <c r="A69" s="6"/>
      <c r="B69" s="22"/>
      <c r="C69" s="17"/>
      <c r="D69" s="8"/>
      <c r="E69" s="26"/>
      <c r="F69" s="10" t="str">
        <f t="shared" ref="F69:F70" si="22">F61</f>
        <v>норматив на 2027 год :</v>
      </c>
      <c r="G69" s="24">
        <f>G68</f>
        <v>50</v>
      </c>
      <c r="H69" s="24" t="s">
        <v>41</v>
      </c>
      <c r="I69" s="29">
        <v>1</v>
      </c>
      <c r="J69" s="24" t="s">
        <v>64</v>
      </c>
      <c r="K69" s="24">
        <f>ROUNDUP(K68*(1.039),2)</f>
        <v>26.680000000000003</v>
      </c>
      <c r="L69" s="24" t="s">
        <v>20</v>
      </c>
      <c r="M69" s="24">
        <f t="shared" ref="M69:M70" si="23">ROUND((G69*I69*K69),2)</f>
        <v>1334</v>
      </c>
      <c r="N69" s="24" t="s">
        <v>21</v>
      </c>
      <c r="O69" s="23">
        <f t="shared" ref="O69:O70" si="24">ROUNDUP((M69),-1)</f>
        <v>1340</v>
      </c>
      <c r="P69" s="23" t="s">
        <v>21</v>
      </c>
      <c r="Q69" s="27"/>
      <c r="R69" s="10"/>
      <c r="S69" s="21"/>
      <c r="T69" s="21"/>
      <c r="U69" s="21"/>
      <c r="V69" s="16" t="str">
        <f>""&amp;TEXT(G69,"0,0")&amp;" у.ед. х "&amp;TEXT(I69,"0,0")&amp;" раз х "&amp;TEXT(ROUND((K69),2)," 00,00")&amp;" руб. = "&amp;TEXT(ROUND((M69),2)," 000,00")&amp;" руб. = "&amp;TEXT(O69," 000,00")&amp;" руб."</f>
        <v>50,0 у.ед. х 1,0 раз х  26,68 руб. =  1334,00 руб. =  1340,00 руб.</v>
      </c>
    </row>
    <row r="70" spans="1:22" s="2" customFormat="1" ht="20.25" x14ac:dyDescent="0.25">
      <c r="A70" s="6"/>
      <c r="B70" s="22"/>
      <c r="C70" s="17"/>
      <c r="D70" s="8"/>
      <c r="E70" s="26"/>
      <c r="F70" s="10" t="str">
        <f t="shared" si="22"/>
        <v>норматив на 2028 год :</v>
      </c>
      <c r="G70" s="24">
        <f>G69</f>
        <v>50</v>
      </c>
      <c r="H70" s="24" t="s">
        <v>41</v>
      </c>
      <c r="I70" s="29">
        <v>1</v>
      </c>
      <c r="J70" s="24" t="s">
        <v>64</v>
      </c>
      <c r="K70" s="24">
        <f>ROUNDUP(K69*(1.039),2)</f>
        <v>27.73</v>
      </c>
      <c r="L70" s="24" t="s">
        <v>20</v>
      </c>
      <c r="M70" s="24">
        <f t="shared" si="23"/>
        <v>1386.5</v>
      </c>
      <c r="N70" s="24" t="s">
        <v>21</v>
      </c>
      <c r="O70" s="23">
        <f t="shared" si="24"/>
        <v>1390</v>
      </c>
      <c r="P70" s="23" t="s">
        <v>21</v>
      </c>
      <c r="Q70" s="23"/>
      <c r="R70" s="10"/>
      <c r="S70" s="26"/>
      <c r="T70" s="26"/>
      <c r="U70" s="26"/>
      <c r="V70" s="16" t="str">
        <f>""&amp;TEXT(G70,"0,0")&amp;" у.ед. х "&amp;TEXT(I70,"0,0")&amp;" раз х "&amp;TEXT(ROUND((K70),2)," 00,00")&amp;" руб. = "&amp;TEXT(ROUND((M70),2)," 000,00")&amp;" руб. = "&amp;TEXT(O70," 000,00")&amp;" руб."</f>
        <v>50,0 у.ед. х 1,0 раз х  27,73 руб. =  1386,50 руб. =  1390,00 руб.</v>
      </c>
    </row>
    <row r="71" spans="1:22" s="2" customFormat="1" ht="20.25" x14ac:dyDescent="0.25">
      <c r="A71" s="6" t="s">
        <v>75</v>
      </c>
      <c r="B71" s="18" t="s">
        <v>76</v>
      </c>
      <c r="C71" s="17"/>
      <c r="D71" s="19">
        <v>225</v>
      </c>
      <c r="E71" s="19">
        <v>244</v>
      </c>
      <c r="F71" s="20" t="s">
        <v>59</v>
      </c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1">
        <f>O72</f>
        <v>36310</v>
      </c>
      <c r="T71" s="21">
        <f>O73</f>
        <v>37730</v>
      </c>
      <c r="U71" s="21">
        <f>O74</f>
        <v>39200</v>
      </c>
      <c r="V71" s="16"/>
    </row>
    <row r="72" spans="1:22" s="2" customFormat="1" ht="20.25" x14ac:dyDescent="0.25">
      <c r="A72" s="6"/>
      <c r="B72" s="22"/>
      <c r="C72" s="17"/>
      <c r="D72" s="8"/>
      <c r="E72" s="26"/>
      <c r="F72" s="10" t="str">
        <f>F14</f>
        <v>норматив на 2026 год :</v>
      </c>
      <c r="G72" s="24">
        <v>61</v>
      </c>
      <c r="H72" s="24" t="s">
        <v>56</v>
      </c>
      <c r="I72" s="29">
        <v>1</v>
      </c>
      <c r="J72" s="24" t="s">
        <v>64</v>
      </c>
      <c r="K72" s="24">
        <f>ROUNDUP(499.67*(1.0487*1.0495*1.0416*1.0391),2)</f>
        <v>595.22</v>
      </c>
      <c r="L72" s="24" t="s">
        <v>20</v>
      </c>
      <c r="M72" s="24">
        <f>ROUND((G72*I72*K72),2)</f>
        <v>36308.42</v>
      </c>
      <c r="N72" s="24" t="s">
        <v>20</v>
      </c>
      <c r="O72" s="23">
        <f>ROUNDUP((M72),-1)</f>
        <v>36310</v>
      </c>
      <c r="P72" s="23" t="s">
        <v>21</v>
      </c>
      <c r="Q72" s="27"/>
      <c r="R72" s="10"/>
      <c r="S72" s="21"/>
      <c r="T72" s="21"/>
      <c r="U72" s="21"/>
      <c r="V72" s="16" t="str">
        <f>""&amp;TEXT($G$76,"0,0")&amp;" шт. х "&amp;TEXT($I$76,"0,0")&amp;" раз х "&amp;TEXT(ROUND((K72),2),"000,00")&amp;" руб. = "&amp;TEXT(ROUND((M72),2),"0 000,00")&amp;" руб. = "&amp;TEXT(O72,"0 000,00")&amp;" руб."</f>
        <v>1,0 шт. х 1,0 раз х 595,22 руб. = 36 308,42 руб. = 36 310,00 руб.</v>
      </c>
    </row>
    <row r="73" spans="1:22" s="2" customFormat="1" ht="20.25" x14ac:dyDescent="0.25">
      <c r="A73" s="6"/>
      <c r="B73" s="22"/>
      <c r="C73" s="17"/>
      <c r="D73" s="8"/>
      <c r="E73" s="26"/>
      <c r="F73" s="10" t="str">
        <f>F15</f>
        <v>норматив на 2027 год :</v>
      </c>
      <c r="G73" s="24">
        <v>61</v>
      </c>
      <c r="H73" s="24" t="s">
        <v>56</v>
      </c>
      <c r="I73" s="29">
        <v>1</v>
      </c>
      <c r="J73" s="24" t="s">
        <v>64</v>
      </c>
      <c r="K73" s="24">
        <f>ROUNDUP(K72*(1.039),2)</f>
        <v>618.43999999999994</v>
      </c>
      <c r="L73" s="24" t="s">
        <v>20</v>
      </c>
      <c r="M73" s="24">
        <f t="shared" ref="M73:M74" si="25">ROUND((G73*I73*K73),2)</f>
        <v>37724.839999999997</v>
      </c>
      <c r="N73" s="24" t="s">
        <v>20</v>
      </c>
      <c r="O73" s="23">
        <f>ROUNDUP((M73),-1)</f>
        <v>37730</v>
      </c>
      <c r="P73" s="23" t="s">
        <v>21</v>
      </c>
      <c r="Q73" s="27"/>
      <c r="R73" s="10"/>
      <c r="S73" s="21"/>
      <c r="T73" s="21"/>
      <c r="U73" s="21"/>
      <c r="V73" s="16" t="str">
        <f>""&amp;TEXT($G$76,"0,0")&amp;" шт. х "&amp;TEXT($I$76,"0,0")&amp;" раз х "&amp;TEXT(ROUND((K73),2),"000,00")&amp;" руб. = "&amp;TEXT(ROUND((M73),2),"0 000,00")&amp;" руб. = "&amp;TEXT(O73,"0 000,00")&amp;" руб."</f>
        <v>1,0 шт. х 1,0 раз х 618,44 руб. = 37 724,84 руб. = 37 730,00 руб.</v>
      </c>
    </row>
    <row r="74" spans="1:22" s="2" customFormat="1" ht="20.25" x14ac:dyDescent="0.25">
      <c r="A74" s="6"/>
      <c r="B74" s="22"/>
      <c r="C74" s="17"/>
      <c r="D74" s="8"/>
      <c r="E74" s="26"/>
      <c r="F74" s="10" t="str">
        <f>F16</f>
        <v>норматив на 2028 год :</v>
      </c>
      <c r="G74" s="24">
        <v>61</v>
      </c>
      <c r="H74" s="24" t="s">
        <v>56</v>
      </c>
      <c r="I74" s="29">
        <v>1</v>
      </c>
      <c r="J74" s="24" t="s">
        <v>64</v>
      </c>
      <c r="K74" s="24">
        <f>ROUNDUP(K73*(1.039),2)</f>
        <v>642.55999999999995</v>
      </c>
      <c r="L74" s="24" t="s">
        <v>20</v>
      </c>
      <c r="M74" s="24">
        <f t="shared" si="25"/>
        <v>39196.160000000003</v>
      </c>
      <c r="N74" s="24" t="s">
        <v>20</v>
      </c>
      <c r="O74" s="23">
        <f>ROUNDUP((M74),-1)</f>
        <v>39200</v>
      </c>
      <c r="P74" s="23" t="s">
        <v>21</v>
      </c>
      <c r="Q74" s="23"/>
      <c r="R74" s="10"/>
      <c r="S74" s="26"/>
      <c r="T74" s="26"/>
      <c r="U74" s="26"/>
      <c r="V74" s="16" t="str">
        <f>""&amp;TEXT($G$76,"0,0")&amp;" шт. х "&amp;TEXT($I$76,"0,0")&amp;" раз х "&amp;TEXT(ROUND((K74),2),"000,00")&amp;" руб. = "&amp;TEXT(ROUND((M74),2),"0 000,00")&amp;" руб. = "&amp;TEXT(O74,"0 000,00")&amp;" руб."</f>
        <v>1,0 шт. х 1,0 раз х 642,56 руб. = 39 196,16 руб. = 39 200,00 руб.</v>
      </c>
    </row>
    <row r="75" spans="1:22" s="2" customFormat="1" ht="29.25" customHeight="1" x14ac:dyDescent="0.25">
      <c r="A75" s="6" t="s">
        <v>77</v>
      </c>
      <c r="B75" s="18" t="s">
        <v>78</v>
      </c>
      <c r="C75" s="17"/>
      <c r="D75" s="19">
        <v>225</v>
      </c>
      <c r="E75" s="19">
        <v>244</v>
      </c>
      <c r="F75" s="20" t="s">
        <v>59</v>
      </c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1">
        <f>O76</f>
        <v>189410</v>
      </c>
      <c r="T75" s="21">
        <f>O77</f>
        <v>196800</v>
      </c>
      <c r="U75" s="21">
        <f>O78</f>
        <v>204470</v>
      </c>
      <c r="V75" s="16"/>
    </row>
    <row r="76" spans="1:22" s="2" customFormat="1" ht="20.25" x14ac:dyDescent="0.25">
      <c r="A76" s="6"/>
      <c r="B76" s="22"/>
      <c r="C76" s="17"/>
      <c r="D76" s="8"/>
      <c r="E76" s="26"/>
      <c r="F76" s="10" t="str">
        <f>F14</f>
        <v>норматив на 2026 год :</v>
      </c>
      <c r="G76" s="24">
        <v>1</v>
      </c>
      <c r="H76" s="24" t="s">
        <v>63</v>
      </c>
      <c r="I76" s="29">
        <v>1</v>
      </c>
      <c r="J76" s="24" t="s">
        <v>64</v>
      </c>
      <c r="K76" s="24">
        <f>ROUNDUP(158999.93*(1.0487*1.0495*1.0416*1.0391),2)</f>
        <v>189403.92</v>
      </c>
      <c r="L76" s="24" t="s">
        <v>20</v>
      </c>
      <c r="M76" s="24">
        <f>ROUND((G76*I76*K76),2)</f>
        <v>189403.92</v>
      </c>
      <c r="N76" s="24" t="s">
        <v>20</v>
      </c>
      <c r="O76" s="23">
        <f>ROUNDUP((M76),-1)</f>
        <v>189410</v>
      </c>
      <c r="P76" s="23" t="s">
        <v>21</v>
      </c>
      <c r="Q76" s="27"/>
      <c r="R76" s="10"/>
      <c r="S76" s="21"/>
      <c r="T76" s="21"/>
      <c r="U76" s="21"/>
      <c r="V76" s="16" t="str">
        <f>""&amp;TEXT($G$76,"0,0")&amp;" шт. х "&amp;TEXT($I$76,"0,0")&amp;" раз х "&amp;TEXT(ROUND((K76),2),"0 000,00")&amp;" руб. = "&amp;TEXT(ROUND((M76),2),"0 000,00")&amp;" руб. = "&amp;TEXT(O76,"0 000,00")&amp;" руб."</f>
        <v>1,0 шт. х 1,0 раз х 189 403,92 руб. = 189 403,92 руб. = 189 410,00 руб.</v>
      </c>
    </row>
    <row r="77" spans="1:22" s="2" customFormat="1" ht="20.25" x14ac:dyDescent="0.25">
      <c r="A77" s="6"/>
      <c r="B77" s="22"/>
      <c r="C77" s="17"/>
      <c r="D77" s="8"/>
      <c r="E77" s="26"/>
      <c r="F77" s="10" t="str">
        <f>F15</f>
        <v>норматив на 2027 год :</v>
      </c>
      <c r="G77" s="24">
        <v>1</v>
      </c>
      <c r="H77" s="24" t="s">
        <v>63</v>
      </c>
      <c r="I77" s="29">
        <v>1</v>
      </c>
      <c r="J77" s="24" t="s">
        <v>64</v>
      </c>
      <c r="K77" s="24">
        <f>ROUNDUP(K76*(1.039),2)</f>
        <v>196790.68000000002</v>
      </c>
      <c r="L77" s="24" t="s">
        <v>20</v>
      </c>
      <c r="M77" s="24">
        <f t="shared" ref="M77:M78" si="26">ROUND((G77*I77*K77),2)</f>
        <v>196790.68</v>
      </c>
      <c r="N77" s="24" t="s">
        <v>20</v>
      </c>
      <c r="O77" s="23">
        <f>ROUNDUP((M77),-1)</f>
        <v>196800</v>
      </c>
      <c r="P77" s="23" t="s">
        <v>21</v>
      </c>
      <c r="Q77" s="27"/>
      <c r="R77" s="10"/>
      <c r="S77" s="21"/>
      <c r="T77" s="21"/>
      <c r="U77" s="21"/>
      <c r="V77" s="16" t="str">
        <f>""&amp;TEXT($G$76,"0,0")&amp;" шт. х "&amp;TEXT($I$76,"0,0")&amp;" раз х "&amp;TEXT(ROUND((K77),2),"0 000,00")&amp;" руб. = "&amp;TEXT(ROUND((M77),2),"0 000,00")&amp;" руб. = "&amp;TEXT(O77,"0 000,00")&amp;" руб."</f>
        <v>1,0 шт. х 1,0 раз х 196 790,68 руб. = 196 790,68 руб. = 196 800,00 руб.</v>
      </c>
    </row>
    <row r="78" spans="1:22" s="2" customFormat="1" ht="20.25" x14ac:dyDescent="0.25">
      <c r="A78" s="6"/>
      <c r="B78" s="22"/>
      <c r="C78" s="17"/>
      <c r="D78" s="8"/>
      <c r="E78" s="26"/>
      <c r="F78" s="10" t="str">
        <f>F16</f>
        <v>норматив на 2028 год :</v>
      </c>
      <c r="G78" s="24">
        <v>1</v>
      </c>
      <c r="H78" s="24" t="s">
        <v>63</v>
      </c>
      <c r="I78" s="29">
        <v>1</v>
      </c>
      <c r="J78" s="24" t="s">
        <v>64</v>
      </c>
      <c r="K78" s="24">
        <f>ROUNDUP(K77*(1.039),2)</f>
        <v>204465.52000000002</v>
      </c>
      <c r="L78" s="24" t="s">
        <v>20</v>
      </c>
      <c r="M78" s="24">
        <f t="shared" si="26"/>
        <v>204465.52</v>
      </c>
      <c r="N78" s="24" t="s">
        <v>20</v>
      </c>
      <c r="O78" s="23">
        <f>ROUNDUP((M78),-1)</f>
        <v>204470</v>
      </c>
      <c r="P78" s="23" t="s">
        <v>21</v>
      </c>
      <c r="Q78" s="23"/>
      <c r="R78" s="10"/>
      <c r="S78" s="26"/>
      <c r="T78" s="26"/>
      <c r="U78" s="26"/>
      <c r="V78" s="16" t="str">
        <f>""&amp;TEXT($G$76,"0,0")&amp;" шт. х "&amp;TEXT($I$76,"0,0")&amp;" раз х "&amp;TEXT(ROUND((K78),2),"0 000,00")&amp;" руб. = "&amp;TEXT(ROUND((M78),2),"0 000,00")&amp;" руб. = "&amp;TEXT(O78,"0 000,00")&amp;" руб."</f>
        <v>1,0 шт. х 1,0 раз х 204 465,52 руб. = 204 465,52 руб. = 204 470,00 руб.</v>
      </c>
    </row>
    <row r="79" spans="1:22" s="2" customFormat="1" ht="23.25" customHeight="1" x14ac:dyDescent="0.25">
      <c r="A79" s="6" t="s">
        <v>79</v>
      </c>
      <c r="B79" s="18" t="s">
        <v>80</v>
      </c>
      <c r="C79" s="17"/>
      <c r="D79" s="19">
        <v>225</v>
      </c>
      <c r="E79" s="19">
        <v>244</v>
      </c>
      <c r="F79" s="20" t="s">
        <v>81</v>
      </c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1">
        <f>M80</f>
        <v>2345540</v>
      </c>
      <c r="T79" s="21">
        <f>M81</f>
        <v>2437020</v>
      </c>
      <c r="U79" s="21">
        <f>M82</f>
        <v>2532060</v>
      </c>
      <c r="V79" s="16"/>
    </row>
    <row r="80" spans="1:22" s="2" customFormat="1" ht="20.25" x14ac:dyDescent="0.25">
      <c r="A80" s="6"/>
      <c r="B80" s="22"/>
      <c r="C80" s="17"/>
      <c r="D80" s="8"/>
      <c r="E80" s="26"/>
      <c r="F80" s="10" t="str">
        <f>F14</f>
        <v>норматив на 2026 год :</v>
      </c>
      <c r="G80" s="24">
        <v>1</v>
      </c>
      <c r="H80" s="24" t="s">
        <v>41</v>
      </c>
      <c r="I80" s="24">
        <v>2345534.35</v>
      </c>
      <c r="J80" s="24" t="s">
        <v>20</v>
      </c>
      <c r="K80" s="24">
        <f>ROUND((G80*I80),2)</f>
        <v>2345534.35</v>
      </c>
      <c r="L80" s="24" t="s">
        <v>20</v>
      </c>
      <c r="M80" s="23">
        <f>ROUNDUP((K80),-1)</f>
        <v>2345540</v>
      </c>
      <c r="N80" s="23" t="s">
        <v>21</v>
      </c>
      <c r="O80" s="27"/>
      <c r="P80" s="27"/>
      <c r="Q80" s="27"/>
      <c r="R80" s="27"/>
      <c r="S80" s="21"/>
      <c r="T80" s="21"/>
      <c r="U80" s="21"/>
      <c r="V80" s="16" t="str">
        <f>""&amp;TEXT(G80,"0,0")&amp;" у.ед. х "&amp;TEXT(ROUND((I80),2),"0 000,00")&amp;" руб. = "&amp;TEXT(ROUND((K80),2),"0 000,00")&amp;" руб. = "&amp;TEXT(M80,"0 000,00")&amp;" руб."</f>
        <v>1,0 у.ед. х 2 345 534,35 руб. = 2 345 534,35 руб. = 2 345 540,00 руб.</v>
      </c>
    </row>
    <row r="81" spans="1:22" s="2" customFormat="1" ht="20.25" x14ac:dyDescent="0.25">
      <c r="A81" s="6"/>
      <c r="B81" s="22"/>
      <c r="C81" s="17"/>
      <c r="D81" s="8"/>
      <c r="E81" s="26"/>
      <c r="F81" s="10" t="str">
        <f>F15</f>
        <v>норматив на 2027 год :</v>
      </c>
      <c r="G81" s="24">
        <v>1</v>
      </c>
      <c r="H81" s="24" t="s">
        <v>41</v>
      </c>
      <c r="I81" s="24">
        <f>ROUNDUP(I80*(1.039),2)</f>
        <v>2437010.19</v>
      </c>
      <c r="J81" s="24" t="s">
        <v>20</v>
      </c>
      <c r="K81" s="24">
        <f t="shared" ref="K81:K82" si="27">ROUND((G81*I81),2)</f>
        <v>2437010.19</v>
      </c>
      <c r="L81" s="24" t="s">
        <v>20</v>
      </c>
      <c r="M81" s="23">
        <f>ROUNDUP((K81),-1)</f>
        <v>2437020</v>
      </c>
      <c r="N81" s="23" t="s">
        <v>21</v>
      </c>
      <c r="O81" s="27"/>
      <c r="P81" s="27"/>
      <c r="Q81" s="27"/>
      <c r="R81" s="27"/>
      <c r="S81" s="21"/>
      <c r="T81" s="21"/>
      <c r="U81" s="21"/>
      <c r="V81" s="16" t="str">
        <f>""&amp;TEXT(G81,"0,0")&amp;" у.ед. х "&amp;TEXT(ROUND((I81),2),"0 000,00")&amp;" руб. = "&amp;TEXT(ROUND((K81),2),"0 000,00")&amp;" руб. = "&amp;TEXT(M81,"0 000,00")&amp;" руб."</f>
        <v>1,0 у.ед. х 2 437 010,19 руб. = 2 437 010,19 руб. = 2 437 020,00 руб.</v>
      </c>
    </row>
    <row r="82" spans="1:22" s="2" customFormat="1" ht="20.25" x14ac:dyDescent="0.25">
      <c r="A82" s="6"/>
      <c r="B82" s="22"/>
      <c r="C82" s="17"/>
      <c r="D82" s="8"/>
      <c r="E82" s="26"/>
      <c r="F82" s="10" t="str">
        <f>F16</f>
        <v>норматив на 2028 год :</v>
      </c>
      <c r="G82" s="24">
        <v>1</v>
      </c>
      <c r="H82" s="24" t="s">
        <v>41</v>
      </c>
      <c r="I82" s="24">
        <f>ROUNDUP(I81*(1.039),2)</f>
        <v>2532053.59</v>
      </c>
      <c r="J82" s="24" t="s">
        <v>20</v>
      </c>
      <c r="K82" s="24">
        <f t="shared" si="27"/>
        <v>2532053.59</v>
      </c>
      <c r="L82" s="24" t="s">
        <v>20</v>
      </c>
      <c r="M82" s="23">
        <f>ROUNDUP((K82),-1)</f>
        <v>2532060</v>
      </c>
      <c r="N82" s="23" t="s">
        <v>21</v>
      </c>
      <c r="O82" s="23"/>
      <c r="P82" s="23"/>
      <c r="Q82" s="23"/>
      <c r="R82" s="23"/>
      <c r="S82" s="21"/>
      <c r="T82" s="21"/>
      <c r="U82" s="21"/>
      <c r="V82" s="16" t="str">
        <f>""&amp;TEXT(G82,"0,0")&amp;" у.ед. х "&amp;TEXT(ROUND((I82),2),"0 000,00")&amp;" руб. = "&amp;TEXT(ROUND((K82),2),"0 000,00")&amp;" руб. = "&amp;TEXT(M82,"0 000,00")&amp;" руб."</f>
        <v>1,0 у.ед. х 2 532 053,59 руб. = 2 532 053,59 руб. = 2 532 060,00 руб.</v>
      </c>
    </row>
    <row r="83" spans="1:22" s="2" customFormat="1" ht="27.75" customHeight="1" x14ac:dyDescent="0.25">
      <c r="A83" s="6" t="s">
        <v>82</v>
      </c>
      <c r="B83" s="18" t="s">
        <v>83</v>
      </c>
      <c r="C83" s="17"/>
      <c r="D83" s="19">
        <v>225</v>
      </c>
      <c r="E83" s="19">
        <v>244</v>
      </c>
      <c r="F83" s="20" t="s">
        <v>81</v>
      </c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1">
        <f>M84</f>
        <v>1525170</v>
      </c>
      <c r="T83" s="21">
        <f>M85</f>
        <v>1584650</v>
      </c>
      <c r="U83" s="21">
        <f>M86</f>
        <v>1646450</v>
      </c>
      <c r="V83" s="16"/>
    </row>
    <row r="84" spans="1:22" s="2" customFormat="1" ht="20.25" x14ac:dyDescent="0.25">
      <c r="A84" s="6"/>
      <c r="B84" s="22"/>
      <c r="C84" s="17"/>
      <c r="D84" s="8"/>
      <c r="E84" s="26"/>
      <c r="F84" s="10" t="str">
        <f>F14</f>
        <v>норматив на 2026 год :</v>
      </c>
      <c r="G84" s="24">
        <v>1</v>
      </c>
      <c r="H84" s="24" t="s">
        <v>41</v>
      </c>
      <c r="I84" s="24">
        <v>1525163.22</v>
      </c>
      <c r="J84" s="24" t="s">
        <v>20</v>
      </c>
      <c r="K84" s="24">
        <f>ROUND((G84*I84),2)</f>
        <v>1525163.22</v>
      </c>
      <c r="L84" s="24" t="s">
        <v>20</v>
      </c>
      <c r="M84" s="23">
        <f>ROUNDUP((K84),-1)</f>
        <v>1525170</v>
      </c>
      <c r="N84" s="23" t="s">
        <v>21</v>
      </c>
      <c r="O84" s="27"/>
      <c r="P84" s="27"/>
      <c r="Q84" s="27"/>
      <c r="R84" s="27"/>
      <c r="S84" s="21"/>
      <c r="T84" s="21"/>
      <c r="U84" s="21"/>
      <c r="V84" s="16" t="str">
        <f>""&amp;TEXT(G84,"0,0")&amp;" у.ед. х "&amp;TEXT(ROUND((I84),2),"0 000,00")&amp;" руб. = "&amp;TEXT(ROUND((K84),2),"0 000,00")&amp;" руб. = "&amp;TEXT(M84,"0 000,00")&amp;" руб."</f>
        <v>1,0 у.ед. х 1 525 163,22 руб. = 1 525 163,22 руб. = 1 525 170,00 руб.</v>
      </c>
    </row>
    <row r="85" spans="1:22" s="2" customFormat="1" ht="20.25" x14ac:dyDescent="0.25">
      <c r="A85" s="6"/>
      <c r="B85" s="22"/>
      <c r="C85" s="17"/>
      <c r="D85" s="8"/>
      <c r="E85" s="26"/>
      <c r="F85" s="10" t="str">
        <f>F15</f>
        <v>норматив на 2027 год :</v>
      </c>
      <c r="G85" s="24">
        <v>1</v>
      </c>
      <c r="H85" s="24" t="s">
        <v>41</v>
      </c>
      <c r="I85" s="24">
        <f>ROUNDUP(I84*(1.039),2)</f>
        <v>1584644.59</v>
      </c>
      <c r="J85" s="24" t="s">
        <v>20</v>
      </c>
      <c r="K85" s="24">
        <f t="shared" ref="K85:K86" si="28">ROUND((G85*I85),2)</f>
        <v>1584644.59</v>
      </c>
      <c r="L85" s="24" t="s">
        <v>20</v>
      </c>
      <c r="M85" s="23">
        <f>ROUNDUP((K85),-1)</f>
        <v>1584650</v>
      </c>
      <c r="N85" s="23" t="s">
        <v>21</v>
      </c>
      <c r="O85" s="27"/>
      <c r="P85" s="27"/>
      <c r="Q85" s="27"/>
      <c r="R85" s="27"/>
      <c r="S85" s="21"/>
      <c r="T85" s="21"/>
      <c r="U85" s="21"/>
      <c r="V85" s="16" t="str">
        <f>""&amp;TEXT(G85,"0,0")&amp;" у.ед. х "&amp;TEXT(ROUND((I85),2),"0 000,00")&amp;" руб. = "&amp;TEXT(ROUND((K85),2),"0 000,00")&amp;" руб. = "&amp;TEXT(M85,"0 000,00")&amp;" руб."</f>
        <v>1,0 у.ед. х 1 584 644,59 руб. = 1 584 644,59 руб. = 1 584 650,00 руб.</v>
      </c>
    </row>
    <row r="86" spans="1:22" s="2" customFormat="1" ht="20.25" x14ac:dyDescent="0.25">
      <c r="A86" s="6"/>
      <c r="B86" s="22"/>
      <c r="C86" s="17"/>
      <c r="D86" s="8"/>
      <c r="E86" s="26"/>
      <c r="F86" s="10" t="str">
        <f>F16</f>
        <v>норматив на 2028 год :</v>
      </c>
      <c r="G86" s="24">
        <v>1</v>
      </c>
      <c r="H86" s="24" t="s">
        <v>41</v>
      </c>
      <c r="I86" s="24">
        <f>ROUNDUP(I85*(1.039),2)</f>
        <v>1646445.73</v>
      </c>
      <c r="J86" s="24" t="s">
        <v>20</v>
      </c>
      <c r="K86" s="24">
        <f t="shared" si="28"/>
        <v>1646445.73</v>
      </c>
      <c r="L86" s="24" t="s">
        <v>20</v>
      </c>
      <c r="M86" s="23">
        <f>ROUNDUP((K86),-1)</f>
        <v>1646450</v>
      </c>
      <c r="N86" s="23" t="s">
        <v>21</v>
      </c>
      <c r="O86" s="23"/>
      <c r="P86" s="23"/>
      <c r="Q86" s="23"/>
      <c r="R86" s="23"/>
      <c r="S86" s="21"/>
      <c r="T86" s="21"/>
      <c r="U86" s="21"/>
      <c r="V86" s="16" t="str">
        <f>""&amp;TEXT(G86,"0,0")&amp;" у.ед. х "&amp;TEXT(ROUND((I86),2),"0 000,00")&amp;" руб. = "&amp;TEXT(ROUND((K86),2),"0 000,00")&amp;" руб. = "&amp;TEXT(M86,"0 000,00")&amp;" руб."</f>
        <v>1,0 у.ед. х 1 646 445,73 руб. = 1 646 445,73 руб. = 1 646 450,00 руб.</v>
      </c>
    </row>
    <row r="87" spans="1:22" s="2" customFormat="1" ht="129.75" customHeight="1" x14ac:dyDescent="0.25">
      <c r="A87" s="30" t="s">
        <v>84</v>
      </c>
      <c r="B87" s="31" t="s">
        <v>85</v>
      </c>
      <c r="C87" s="32"/>
      <c r="D87" s="13" t="s">
        <v>12</v>
      </c>
      <c r="E87" s="13" t="s">
        <v>12</v>
      </c>
      <c r="F87" s="14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2">
        <f>SUM(S88,S92,S96,S100,S104,S108,S112,S116,S120,S124,S128,S132,S136,S140)</f>
        <v>5587010</v>
      </c>
      <c r="T87" s="12">
        <f t="shared" ref="T87:U87" si="29">SUM(T88,T92,T96,T100,T104,T108,T112,T116,T120,T124,T128,T132,T136,T140)</f>
        <v>5812060</v>
      </c>
      <c r="U87" s="12">
        <f t="shared" si="29"/>
        <v>6039590</v>
      </c>
      <c r="V87" s="16"/>
    </row>
    <row r="88" spans="1:22" s="2" customFormat="1" ht="32.25" customHeight="1" x14ac:dyDescent="0.25">
      <c r="A88" s="6" t="s">
        <v>86</v>
      </c>
      <c r="B88" s="18" t="s">
        <v>87</v>
      </c>
      <c r="C88" s="17"/>
      <c r="D88" s="19">
        <v>226</v>
      </c>
      <c r="E88" s="19">
        <v>244</v>
      </c>
      <c r="F88" s="20" t="s">
        <v>88</v>
      </c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1">
        <f>O89</f>
        <v>429410</v>
      </c>
      <c r="T88" s="21">
        <f>O90</f>
        <v>447280</v>
      </c>
      <c r="U88" s="21">
        <f>O91</f>
        <v>465530</v>
      </c>
      <c r="V88" s="16"/>
    </row>
    <row r="89" spans="1:22" s="2" customFormat="1" ht="52.5" customHeight="1" x14ac:dyDescent="0.25">
      <c r="A89" s="6"/>
      <c r="B89" s="22"/>
      <c r="C89" s="17"/>
      <c r="D89" s="8"/>
      <c r="E89" s="8"/>
      <c r="F89" s="10" t="str">
        <f>F14</f>
        <v>норматив на 2026 год :</v>
      </c>
      <c r="G89" s="24">
        <v>213</v>
      </c>
      <c r="H89" s="24" t="s">
        <v>89</v>
      </c>
      <c r="I89" s="24">
        <v>168</v>
      </c>
      <c r="J89" s="24" t="s">
        <v>90</v>
      </c>
      <c r="K89" s="33">
        <v>12</v>
      </c>
      <c r="L89" s="24" t="s">
        <v>91</v>
      </c>
      <c r="M89" s="24">
        <f>ROUND((G89*I89*K89),2)</f>
        <v>429408</v>
      </c>
      <c r="N89" s="24" t="s">
        <v>20</v>
      </c>
      <c r="O89" s="23">
        <f>ROUNDUP((M89),-1)</f>
        <v>429410</v>
      </c>
      <c r="P89" s="23" t="s">
        <v>21</v>
      </c>
      <c r="Q89" s="24"/>
      <c r="R89" s="24"/>
      <c r="S89" s="21"/>
      <c r="T89" s="21"/>
      <c r="U89" s="21"/>
      <c r="V89" s="16" t="str">
        <f>""&amp;TEXT(G89,"000,00")&amp;" шт.ед. х норматив "&amp;TEXT(I89,"0,00")&amp;" руб. х "&amp;TEXT(K89,"00,0")&amp;" мес.  = "&amp;TEXT(M89,"0 000,00")&amp;" руб. = "&amp;TEXT(O89,"0 000,00")&amp;" руб."</f>
        <v>213,00 шт.ед. х норматив 168,00 руб. х 12,0 мес.  = 429 408,00 руб. = 429 410,00 руб.</v>
      </c>
    </row>
    <row r="90" spans="1:22" s="2" customFormat="1" ht="46.5" customHeight="1" x14ac:dyDescent="0.25">
      <c r="A90" s="6"/>
      <c r="B90" s="22"/>
      <c r="C90" s="17"/>
      <c r="D90" s="8"/>
      <c r="E90" s="8"/>
      <c r="F90" s="10" t="str">
        <f>F15</f>
        <v>норматив на 2027 год :</v>
      </c>
      <c r="G90" s="24">
        <v>213</v>
      </c>
      <c r="H90" s="24" t="s">
        <v>89</v>
      </c>
      <c r="I90" s="24">
        <v>174.99</v>
      </c>
      <c r="J90" s="24" t="s">
        <v>90</v>
      </c>
      <c r="K90" s="33">
        <v>12</v>
      </c>
      <c r="L90" s="24" t="s">
        <v>91</v>
      </c>
      <c r="M90" s="24">
        <f t="shared" ref="M90:M91" si="30">ROUND((G90*I90*K90),2)</f>
        <v>447274.44</v>
      </c>
      <c r="N90" s="24" t="s">
        <v>20</v>
      </c>
      <c r="O90" s="23">
        <f>ROUNDUP((M90),-1)</f>
        <v>447280</v>
      </c>
      <c r="P90" s="23" t="s">
        <v>21</v>
      </c>
      <c r="Q90" s="24"/>
      <c r="R90" s="24"/>
      <c r="S90" s="21"/>
      <c r="T90" s="21"/>
      <c r="U90" s="21"/>
      <c r="V90" s="16" t="str">
        <f>""&amp;TEXT(G90,"000,00")&amp;" шт.ед. х норматив "&amp;TEXT(I90,"0,00")&amp;" руб. х "&amp;TEXT(K90,"00,0")&amp;" мес.  = "&amp;TEXT(M90,"0 000,00")&amp;" руб. = "&amp;TEXT(O90,"0 000,00")&amp;" руб."</f>
        <v>213,00 шт.ед. х норматив 174,99 руб. х 12,0 мес.  = 447 274,44 руб. = 447 280,00 руб.</v>
      </c>
    </row>
    <row r="91" spans="1:22" s="2" customFormat="1" ht="60" customHeight="1" x14ac:dyDescent="0.25">
      <c r="A91" s="6"/>
      <c r="B91" s="22"/>
      <c r="C91" s="17"/>
      <c r="D91" s="8"/>
      <c r="E91" s="8"/>
      <c r="F91" s="10" t="str">
        <f>F16</f>
        <v>норматив на 2028 год :</v>
      </c>
      <c r="G91" s="24">
        <v>213</v>
      </c>
      <c r="H91" s="24" t="s">
        <v>89</v>
      </c>
      <c r="I91" s="24">
        <v>182.13</v>
      </c>
      <c r="J91" s="24" t="s">
        <v>90</v>
      </c>
      <c r="K91" s="33">
        <v>12</v>
      </c>
      <c r="L91" s="24" t="s">
        <v>91</v>
      </c>
      <c r="M91" s="24">
        <f t="shared" si="30"/>
        <v>465524.28</v>
      </c>
      <c r="N91" s="24" t="s">
        <v>20</v>
      </c>
      <c r="O91" s="23">
        <f>ROUNDUP((M91),-1)</f>
        <v>465530</v>
      </c>
      <c r="P91" s="23" t="s">
        <v>21</v>
      </c>
      <c r="Q91" s="24"/>
      <c r="R91" s="24"/>
      <c r="S91" s="21"/>
      <c r="T91" s="21"/>
      <c r="U91" s="21"/>
      <c r="V91" s="16" t="str">
        <f>""&amp;TEXT(G91,"000,00")&amp;" шт.ед. х норматив "&amp;TEXT(I91,"0,00")&amp;" руб. х "&amp;TEXT(K91,"00,0")&amp;" мес.  = "&amp;TEXT(M91,"0 000,00")&amp;" руб. = "&amp;TEXT(O91,"0 000,00")&amp;" руб."</f>
        <v>213,00 шт.ед. х норматив 182,13 руб. х 12,0 мес.  = 465 524,28 руб. = 465 530,00 руб.</v>
      </c>
    </row>
    <row r="92" spans="1:22" s="2" customFormat="1" ht="39" customHeight="1" x14ac:dyDescent="0.25">
      <c r="A92" s="6" t="s">
        <v>92</v>
      </c>
      <c r="B92" s="18" t="s">
        <v>93</v>
      </c>
      <c r="C92" s="17"/>
      <c r="D92" s="19">
        <v>226</v>
      </c>
      <c r="E92" s="19">
        <v>244</v>
      </c>
      <c r="F92" s="20" t="s">
        <v>94</v>
      </c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1">
        <f>O93</f>
        <v>3230</v>
      </c>
      <c r="T92" s="34">
        <f>O94</f>
        <v>3350</v>
      </c>
      <c r="U92" s="21">
        <f>O95</f>
        <v>3480</v>
      </c>
      <c r="V92" s="16"/>
    </row>
    <row r="93" spans="1:22" s="2" customFormat="1" ht="20.25" x14ac:dyDescent="0.25">
      <c r="A93" s="6"/>
      <c r="B93" s="22"/>
      <c r="C93" s="17"/>
      <c r="D93" s="8"/>
      <c r="E93" s="26"/>
      <c r="F93" s="10" t="str">
        <f>F14</f>
        <v>норматив на 2026 год :</v>
      </c>
      <c r="G93" s="24">
        <v>1</v>
      </c>
      <c r="H93" s="24" t="s">
        <v>95</v>
      </c>
      <c r="I93" s="28">
        <v>1</v>
      </c>
      <c r="J93" s="24" t="s">
        <v>52</v>
      </c>
      <c r="K93" s="24">
        <f>ROUNDUP(2500*(1.0822*1.0487*1.0495*1.0416*1.0391),2)</f>
        <v>3222.8500000000004</v>
      </c>
      <c r="L93" s="24" t="s">
        <v>20</v>
      </c>
      <c r="M93" s="24">
        <f>ROUND((G93*I93*K93),2)</f>
        <v>3222.85</v>
      </c>
      <c r="N93" s="24" t="s">
        <v>20</v>
      </c>
      <c r="O93" s="23">
        <f>ROUNDUP((M93),-1)</f>
        <v>3230</v>
      </c>
      <c r="P93" s="23" t="s">
        <v>21</v>
      </c>
      <c r="Q93" s="27"/>
      <c r="R93" s="23"/>
      <c r="S93" s="21"/>
      <c r="T93" s="35"/>
      <c r="U93" s="21"/>
      <c r="V93" s="16" t="str">
        <f>""&amp;TEXT(G93,"0,0")&amp;" чел. х "&amp;TEXT(I93,"0,0")&amp;" раз х "&amp;TEXT(ROUND((K93),2),"0 000,00")&amp;" руб. = "&amp;TEXT(ROUND((M93),2),"0 000,00")&amp;" руб. = "&amp;TEXT(O93,"0 000,00")&amp;" руб."</f>
        <v>1,0 чел. х 1,0 раз х 3 222,85 руб. = 3 222,85 руб. = 3 230,00 руб.</v>
      </c>
    </row>
    <row r="94" spans="1:22" s="2" customFormat="1" ht="20.25" collapsed="1" x14ac:dyDescent="0.25">
      <c r="A94" s="6"/>
      <c r="B94" s="22"/>
      <c r="C94" s="17"/>
      <c r="D94" s="8"/>
      <c r="E94" s="26"/>
      <c r="F94" s="10" t="str">
        <f>F15</f>
        <v>норматив на 2027 год :</v>
      </c>
      <c r="G94" s="24">
        <v>1</v>
      </c>
      <c r="H94" s="24" t="s">
        <v>95</v>
      </c>
      <c r="I94" s="28">
        <v>1</v>
      </c>
      <c r="J94" s="24" t="s">
        <v>52</v>
      </c>
      <c r="K94" s="24">
        <f>ROUNDUP(K93*(1.039),2)</f>
        <v>3348.55</v>
      </c>
      <c r="L94" s="24" t="s">
        <v>20</v>
      </c>
      <c r="M94" s="24">
        <f t="shared" ref="M94:M95" si="31">ROUND((G94*I94*K94),2)</f>
        <v>3348.55</v>
      </c>
      <c r="N94" s="24" t="s">
        <v>20</v>
      </c>
      <c r="O94" s="23">
        <f>ROUNDUP((M94),-1)</f>
        <v>3350</v>
      </c>
      <c r="P94" s="23" t="s">
        <v>21</v>
      </c>
      <c r="Q94" s="36"/>
      <c r="R94" s="23"/>
      <c r="S94" s="21"/>
      <c r="T94" s="35"/>
      <c r="U94" s="21"/>
      <c r="V94" s="16" t="str">
        <f>""&amp;TEXT(G94,"0,0")&amp;" чел. х "&amp;TEXT(I94,"0,0")&amp;" раз х "&amp;TEXT(ROUND((K94),2),"0 000,00")&amp;" руб. = "&amp;TEXT(ROUND((M94),2),"0 000,00")&amp;" руб. = "&amp;TEXT(O94,"0 000,00")&amp;" руб."</f>
        <v>1,0 чел. х 1,0 раз х 3 348,55 руб. = 3 348,55 руб. = 3 350,00 руб.</v>
      </c>
    </row>
    <row r="95" spans="1:22" s="2" customFormat="1" ht="20.25" x14ac:dyDescent="0.25">
      <c r="A95" s="6"/>
      <c r="B95" s="22"/>
      <c r="C95" s="17"/>
      <c r="D95" s="8"/>
      <c r="E95" s="26"/>
      <c r="F95" s="10" t="str">
        <f>F16</f>
        <v>норматив на 2028 год :</v>
      </c>
      <c r="G95" s="24">
        <v>1</v>
      </c>
      <c r="H95" s="24" t="s">
        <v>95</v>
      </c>
      <c r="I95" s="28">
        <v>1</v>
      </c>
      <c r="J95" s="24" t="s">
        <v>52</v>
      </c>
      <c r="K95" s="24">
        <f>ROUNDUP(K94*(1.039),2)</f>
        <v>3479.15</v>
      </c>
      <c r="L95" s="24" t="s">
        <v>20</v>
      </c>
      <c r="M95" s="24">
        <f t="shared" si="31"/>
        <v>3479.15</v>
      </c>
      <c r="N95" s="24" t="s">
        <v>20</v>
      </c>
      <c r="O95" s="23">
        <f>ROUNDUP((M95),-1)</f>
        <v>3480</v>
      </c>
      <c r="P95" s="23" t="s">
        <v>21</v>
      </c>
      <c r="Q95" s="23"/>
      <c r="R95" s="23"/>
      <c r="S95" s="26"/>
      <c r="T95" s="37"/>
      <c r="U95" s="26"/>
      <c r="V95" s="16" t="str">
        <f>""&amp;TEXT(G95,"0,0")&amp;" чел. х "&amp;TEXT(I95,"0,0")&amp;" раз х "&amp;TEXT(ROUND((K95),2),"0 000,00")&amp;" руб. = "&amp;TEXT(ROUND((M95),2),"0 000,00")&amp;" руб. = "&amp;TEXT(O95,"0 000,00")&amp;" руб."</f>
        <v>1,0 чел. х 1,0 раз х 3 479,15 руб. = 3 479,15 руб. = 3 480,00 руб.</v>
      </c>
    </row>
    <row r="96" spans="1:22" s="2" customFormat="1" ht="20.25" x14ac:dyDescent="0.25">
      <c r="A96" s="6" t="s">
        <v>96</v>
      </c>
      <c r="B96" s="18" t="s">
        <v>97</v>
      </c>
      <c r="C96" s="17"/>
      <c r="D96" s="19">
        <v>226</v>
      </c>
      <c r="E96" s="19">
        <v>244</v>
      </c>
      <c r="F96" s="20" t="s">
        <v>98</v>
      </c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1">
        <f>O97</f>
        <v>35710</v>
      </c>
      <c r="T96" s="21">
        <f>O98</f>
        <v>37100</v>
      </c>
      <c r="U96" s="21">
        <f>O99</f>
        <v>38550</v>
      </c>
      <c r="V96" s="16"/>
    </row>
    <row r="97" spans="1:22" s="2" customFormat="1" ht="20.25" x14ac:dyDescent="0.25">
      <c r="A97" s="6"/>
      <c r="B97" s="22"/>
      <c r="C97" s="17"/>
      <c r="D97" s="8"/>
      <c r="E97" s="26"/>
      <c r="F97" s="10" t="str">
        <f>F14</f>
        <v>норматив на 2026 год :</v>
      </c>
      <c r="G97" s="24">
        <v>1</v>
      </c>
      <c r="H97" s="24" t="s">
        <v>95</v>
      </c>
      <c r="I97" s="33">
        <v>222</v>
      </c>
      <c r="J97" s="24" t="s">
        <v>52</v>
      </c>
      <c r="K97" s="24">
        <f>ROUNDUP(135*(1.0487*1.0495*1.0416*1.0391),2)</f>
        <v>160.82</v>
      </c>
      <c r="L97" s="24" t="s">
        <v>20</v>
      </c>
      <c r="M97" s="24">
        <f>ROUND((G97*I97*K97),2)</f>
        <v>35702.04</v>
      </c>
      <c r="N97" s="24" t="s">
        <v>20</v>
      </c>
      <c r="O97" s="23">
        <f>ROUNDUP((M97),-1)</f>
        <v>35710</v>
      </c>
      <c r="P97" s="23" t="s">
        <v>21</v>
      </c>
      <c r="Q97" s="23"/>
      <c r="R97" s="27"/>
      <c r="S97" s="21"/>
      <c r="T97" s="21"/>
      <c r="U97" s="21"/>
      <c r="V97" s="16" t="str">
        <f>""&amp;TEXT(G97,"0,0")&amp;" чел. х "&amp;TEXT(I97,"0,0")&amp;" раз х "&amp;TEXT(ROUND((K97),2),"0,00")&amp;" руб. = "&amp;TEXT(ROUND((M97),2),"0 000,00")&amp;" руб. = "&amp;TEXT(O97,"0 000,00")&amp;" руб."</f>
        <v>1,0 чел. х 222,0 раз х 160,82 руб. = 35 702,04 руб. = 35 710,00 руб.</v>
      </c>
    </row>
    <row r="98" spans="1:22" s="2" customFormat="1" ht="20.25" x14ac:dyDescent="0.25">
      <c r="A98" s="6"/>
      <c r="B98" s="22"/>
      <c r="C98" s="17"/>
      <c r="D98" s="8"/>
      <c r="E98" s="26"/>
      <c r="F98" s="10" t="str">
        <f>F15</f>
        <v>норматив на 2027 год :</v>
      </c>
      <c r="G98" s="24">
        <v>1</v>
      </c>
      <c r="H98" s="24" t="s">
        <v>95</v>
      </c>
      <c r="I98" s="33">
        <v>222</v>
      </c>
      <c r="J98" s="24" t="s">
        <v>52</v>
      </c>
      <c r="K98" s="24">
        <f>ROUNDUP(K97*(1.039),2)</f>
        <v>167.1</v>
      </c>
      <c r="L98" s="24" t="s">
        <v>20</v>
      </c>
      <c r="M98" s="24">
        <f t="shared" ref="M98:M99" si="32">ROUND((G98*I98*K98),2)</f>
        <v>37096.199999999997</v>
      </c>
      <c r="N98" s="24" t="s">
        <v>20</v>
      </c>
      <c r="O98" s="23">
        <f>ROUNDUP((M98),-1)</f>
        <v>37100</v>
      </c>
      <c r="P98" s="23" t="s">
        <v>21</v>
      </c>
      <c r="Q98" s="23"/>
      <c r="R98" s="27"/>
      <c r="S98" s="21"/>
      <c r="T98" s="21"/>
      <c r="U98" s="21"/>
      <c r="V98" s="16" t="str">
        <f>""&amp;TEXT(G98,"0,0")&amp;" чел. х "&amp;TEXT(I98,"0,0")&amp;" раз х "&amp;TEXT(ROUND((K98),2),"0,00")&amp;" руб. = "&amp;TEXT(ROUND((M98),2),"0 000,00")&amp;" руб. = "&amp;TEXT(O98,"0 000,00")&amp;" руб."</f>
        <v>1,0 чел. х 222,0 раз х 167,10 руб. = 37 096,20 руб. = 37 100,00 руб.</v>
      </c>
    </row>
    <row r="99" spans="1:22" s="2" customFormat="1" ht="20.25" x14ac:dyDescent="0.25">
      <c r="A99" s="6"/>
      <c r="B99" s="22"/>
      <c r="C99" s="17"/>
      <c r="D99" s="8"/>
      <c r="E99" s="26"/>
      <c r="F99" s="10" t="str">
        <f>F16</f>
        <v>норматив на 2028 год :</v>
      </c>
      <c r="G99" s="24">
        <v>1</v>
      </c>
      <c r="H99" s="24" t="s">
        <v>95</v>
      </c>
      <c r="I99" s="33">
        <v>222</v>
      </c>
      <c r="J99" s="24" t="s">
        <v>52</v>
      </c>
      <c r="K99" s="24">
        <f>ROUNDUP(K98*(1.039),2)</f>
        <v>173.62</v>
      </c>
      <c r="L99" s="24" t="s">
        <v>20</v>
      </c>
      <c r="M99" s="24">
        <f t="shared" si="32"/>
        <v>38543.64</v>
      </c>
      <c r="N99" s="24" t="s">
        <v>20</v>
      </c>
      <c r="O99" s="23">
        <f>ROUNDUP((M99),-1)</f>
        <v>38550</v>
      </c>
      <c r="P99" s="23" t="s">
        <v>21</v>
      </c>
      <c r="Q99" s="23"/>
      <c r="R99" s="23"/>
      <c r="S99" s="26"/>
      <c r="T99" s="26"/>
      <c r="U99" s="26"/>
      <c r="V99" s="16" t="str">
        <f>""&amp;TEXT(G99,"0,0")&amp;" чел. х "&amp;TEXT(I99,"0,0")&amp;" раз х "&amp;TEXT(ROUND((K99),2),"0,00")&amp;" руб. = "&amp;TEXT(ROUND((M99),2),"0 000,00")&amp;" руб. = "&amp;TEXT(O99,"0 000,00")&amp;" руб."</f>
        <v>1,0 чел. х 222,0 раз х 173,62 руб. = 38 543,64 руб. = 38 550,00 руб.</v>
      </c>
    </row>
    <row r="100" spans="1:22" s="2" customFormat="1" ht="20.25" x14ac:dyDescent="0.25">
      <c r="A100" s="6" t="s">
        <v>99</v>
      </c>
      <c r="B100" s="18" t="s">
        <v>100</v>
      </c>
      <c r="C100" s="17"/>
      <c r="D100" s="19">
        <v>226</v>
      </c>
      <c r="E100" s="19">
        <v>244</v>
      </c>
      <c r="F100" s="38" t="s">
        <v>101</v>
      </c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40"/>
      <c r="S100" s="21">
        <f>M101</f>
        <v>182780</v>
      </c>
      <c r="T100" s="21">
        <f>M102</f>
        <v>189910</v>
      </c>
      <c r="U100" s="21">
        <f>M103</f>
        <v>197320</v>
      </c>
      <c r="V100" s="16"/>
    </row>
    <row r="101" spans="1:22" s="2" customFormat="1" ht="20.25" x14ac:dyDescent="0.25">
      <c r="A101" s="6"/>
      <c r="B101" s="22"/>
      <c r="C101" s="17"/>
      <c r="D101" s="8"/>
      <c r="E101" s="26"/>
      <c r="F101" s="10" t="str">
        <f>F14</f>
        <v>норматив на 2026 год :</v>
      </c>
      <c r="G101" s="24">
        <v>12</v>
      </c>
      <c r="H101" s="24" t="s">
        <v>102</v>
      </c>
      <c r="I101" s="24">
        <f>ROUNDUP(14658.49*1.0391,2)</f>
        <v>15231.64</v>
      </c>
      <c r="J101" s="24" t="s">
        <v>20</v>
      </c>
      <c r="K101" s="24">
        <f t="shared" ref="K101:K103" si="33">ROUND((G101*I101),2)</f>
        <v>182779.68</v>
      </c>
      <c r="L101" s="24" t="s">
        <v>20</v>
      </c>
      <c r="M101" s="23">
        <f>ROUNDUP((K101),-1)</f>
        <v>182780</v>
      </c>
      <c r="N101" s="23" t="s">
        <v>21</v>
      </c>
      <c r="O101" s="23"/>
      <c r="P101" s="23"/>
      <c r="Q101" s="27"/>
      <c r="R101" s="27"/>
      <c r="S101" s="21"/>
      <c r="T101" s="21"/>
      <c r="U101" s="21"/>
      <c r="V101" s="16" t="str">
        <f>""&amp;TEXT(G101,"0,0")&amp;" мес. х "&amp;TEXT(I101,"0 000,00")&amp;" руб. = "&amp;TEXT(K101,"0 000,00")&amp;" руб. = "&amp;TEXT(M101,"0 000,00")&amp;" руб."</f>
        <v>12,0 мес. х 15 231,64 руб. = 182 779,68 руб. = 182 780,00 руб.</v>
      </c>
    </row>
    <row r="102" spans="1:22" s="2" customFormat="1" ht="20.25" x14ac:dyDescent="0.25">
      <c r="A102" s="6"/>
      <c r="B102" s="22"/>
      <c r="C102" s="17"/>
      <c r="D102" s="8"/>
      <c r="E102" s="26"/>
      <c r="F102" s="10" t="str">
        <f>F15</f>
        <v>норматив на 2027 год :</v>
      </c>
      <c r="G102" s="24">
        <v>12</v>
      </c>
      <c r="H102" s="24" t="s">
        <v>102</v>
      </c>
      <c r="I102" s="24">
        <f>ROUNDUP(I101*(1.039),2)</f>
        <v>15825.68</v>
      </c>
      <c r="J102" s="24" t="s">
        <v>20</v>
      </c>
      <c r="K102" s="24">
        <f t="shared" si="33"/>
        <v>189908.16</v>
      </c>
      <c r="L102" s="24" t="s">
        <v>20</v>
      </c>
      <c r="M102" s="23">
        <f>ROUNDUP((K102),-1)</f>
        <v>189910</v>
      </c>
      <c r="N102" s="23" t="s">
        <v>21</v>
      </c>
      <c r="O102" s="23"/>
      <c r="P102" s="23"/>
      <c r="Q102" s="27"/>
      <c r="R102" s="27"/>
      <c r="S102" s="21"/>
      <c r="T102" s="21"/>
      <c r="U102" s="21"/>
      <c r="V102" s="16" t="str">
        <f t="shared" ref="V102:V103" si="34">""&amp;TEXT(G102,"0,0")&amp;" мес. х "&amp;TEXT(I102,"0 000,00")&amp;" руб. = "&amp;TEXT(K102,"0 000,00")&amp;" руб. = "&amp;TEXT(M102,"0 000,00")&amp;" руб."</f>
        <v>12,0 мес. х 15 825,68 руб. = 189 908,16 руб. = 189 910,00 руб.</v>
      </c>
    </row>
    <row r="103" spans="1:22" s="2" customFormat="1" ht="20.25" x14ac:dyDescent="0.25">
      <c r="A103" s="6"/>
      <c r="B103" s="22"/>
      <c r="C103" s="17"/>
      <c r="D103" s="8"/>
      <c r="E103" s="26"/>
      <c r="F103" s="10" t="str">
        <f>F16</f>
        <v>норматив на 2028 год :</v>
      </c>
      <c r="G103" s="24">
        <v>12</v>
      </c>
      <c r="H103" s="24" t="s">
        <v>102</v>
      </c>
      <c r="I103" s="24">
        <f>ROUNDUP(I102*(1.039),2)</f>
        <v>16442.89</v>
      </c>
      <c r="J103" s="24" t="s">
        <v>20</v>
      </c>
      <c r="K103" s="24">
        <f t="shared" si="33"/>
        <v>197314.68</v>
      </c>
      <c r="L103" s="24" t="s">
        <v>20</v>
      </c>
      <c r="M103" s="23">
        <f>ROUNDUP((K103),-1)</f>
        <v>197320</v>
      </c>
      <c r="N103" s="23" t="s">
        <v>21</v>
      </c>
      <c r="O103" s="23"/>
      <c r="P103" s="23"/>
      <c r="Q103" s="23"/>
      <c r="R103" s="23"/>
      <c r="S103" s="26"/>
      <c r="T103" s="26"/>
      <c r="U103" s="26"/>
      <c r="V103" s="16" t="str">
        <f t="shared" si="34"/>
        <v>12,0 мес. х 16 442,89 руб. = 197 314,68 руб. = 197 320,00 руб.</v>
      </c>
    </row>
    <row r="104" spans="1:22" s="2" customFormat="1" ht="20.25" x14ac:dyDescent="0.25">
      <c r="A104" s="6" t="s">
        <v>103</v>
      </c>
      <c r="B104" s="18" t="s">
        <v>104</v>
      </c>
      <c r="C104" s="17"/>
      <c r="D104" s="19">
        <v>227</v>
      </c>
      <c r="E104" s="19">
        <v>244</v>
      </c>
      <c r="F104" s="20" t="s">
        <v>98</v>
      </c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1">
        <f>M105</f>
        <v>16650</v>
      </c>
      <c r="T104" s="21">
        <f>M106</f>
        <v>17300</v>
      </c>
      <c r="U104" s="21">
        <f>M107</f>
        <v>17980</v>
      </c>
      <c r="V104" s="16"/>
    </row>
    <row r="105" spans="1:22" s="2" customFormat="1" ht="20.25" x14ac:dyDescent="0.25">
      <c r="A105" s="6"/>
      <c r="B105" s="22"/>
      <c r="C105" s="17"/>
      <c r="D105" s="8"/>
      <c r="E105" s="26"/>
      <c r="F105" s="10" t="str">
        <f>F14</f>
        <v>норматив на 2026 год :</v>
      </c>
      <c r="G105" s="24">
        <v>1</v>
      </c>
      <c r="H105" s="24" t="s">
        <v>105</v>
      </c>
      <c r="I105" s="24">
        <f>ROUNDUP(13975.9*(1.0487*1.0495*1.0416*1.0391),2)</f>
        <v>16648.379999999997</v>
      </c>
      <c r="J105" s="24" t="s">
        <v>20</v>
      </c>
      <c r="K105" s="24">
        <f>ROUND((G105*I105),2)</f>
        <v>16648.38</v>
      </c>
      <c r="L105" s="24" t="s">
        <v>20</v>
      </c>
      <c r="M105" s="23">
        <f>ROUNDUP((K105),-1)</f>
        <v>16650</v>
      </c>
      <c r="N105" s="23" t="s">
        <v>21</v>
      </c>
      <c r="O105" s="23"/>
      <c r="P105" s="23"/>
      <c r="Q105" s="27"/>
      <c r="R105" s="27"/>
      <c r="S105" s="21"/>
      <c r="T105" s="21"/>
      <c r="U105" s="21"/>
      <c r="V105" s="16" t="str">
        <f>""&amp;TEXT(G105,"0,0")&amp;" авт. х "&amp;TEXT(I105,"0 000,00")&amp;" руб. = "&amp;TEXT(K105,"0 000,00")&amp;" руб. = "&amp;TEXT(M105,"0 000,00")&amp;" руб."</f>
        <v>1,0 авт. х 16 648,38 руб. = 16 648,38 руб. = 16 650,00 руб.</v>
      </c>
    </row>
    <row r="106" spans="1:22" s="2" customFormat="1" ht="20.25" x14ac:dyDescent="0.25">
      <c r="A106" s="6"/>
      <c r="B106" s="22"/>
      <c r="C106" s="17"/>
      <c r="D106" s="8"/>
      <c r="E106" s="26"/>
      <c r="F106" s="10" t="str">
        <f>F15</f>
        <v>норматив на 2027 год :</v>
      </c>
      <c r="G106" s="24">
        <v>1</v>
      </c>
      <c r="H106" s="24" t="s">
        <v>105</v>
      </c>
      <c r="I106" s="24">
        <f>ROUNDUP(I105*(1.039),2)</f>
        <v>17297.669999999998</v>
      </c>
      <c r="J106" s="24" t="s">
        <v>20</v>
      </c>
      <c r="K106" s="24">
        <f t="shared" ref="K106:K107" si="35">ROUND((G106*I106),2)</f>
        <v>17297.669999999998</v>
      </c>
      <c r="L106" s="24" t="s">
        <v>20</v>
      </c>
      <c r="M106" s="23">
        <f>ROUNDUP((K106),-1)</f>
        <v>17300</v>
      </c>
      <c r="N106" s="23" t="s">
        <v>21</v>
      </c>
      <c r="O106" s="23"/>
      <c r="P106" s="23"/>
      <c r="Q106" s="27"/>
      <c r="R106" s="27"/>
      <c r="S106" s="21"/>
      <c r="T106" s="21"/>
      <c r="U106" s="21"/>
      <c r="V106" s="16" t="str">
        <f t="shared" ref="V106:V107" si="36">""&amp;TEXT(G106,"0,0")&amp;" авт. х "&amp;TEXT(I106,"0 000,00")&amp;" руб. = "&amp;TEXT(K106,"0 000,00")&amp;" руб. = "&amp;TEXT(M106,"0 000,00")&amp;" руб."</f>
        <v>1,0 авт. х 17 297,67 руб. = 17 297,67 руб. = 17 300,00 руб.</v>
      </c>
    </row>
    <row r="107" spans="1:22" s="41" customFormat="1" ht="20.25" x14ac:dyDescent="0.25">
      <c r="A107" s="6"/>
      <c r="B107" s="22"/>
      <c r="C107" s="17"/>
      <c r="D107" s="8"/>
      <c r="E107" s="26"/>
      <c r="F107" s="10" t="str">
        <f>F16</f>
        <v>норматив на 2028 год :</v>
      </c>
      <c r="G107" s="24">
        <v>1</v>
      </c>
      <c r="H107" s="24" t="s">
        <v>105</v>
      </c>
      <c r="I107" s="24">
        <f>ROUNDUP(I106*(1.039),2)</f>
        <v>17972.28</v>
      </c>
      <c r="J107" s="24" t="s">
        <v>20</v>
      </c>
      <c r="K107" s="24">
        <f t="shared" si="35"/>
        <v>17972.28</v>
      </c>
      <c r="L107" s="24" t="s">
        <v>20</v>
      </c>
      <c r="M107" s="23">
        <f>ROUNDUP((K107),-1)</f>
        <v>17980</v>
      </c>
      <c r="N107" s="23" t="s">
        <v>21</v>
      </c>
      <c r="O107" s="23"/>
      <c r="P107" s="23"/>
      <c r="Q107" s="23"/>
      <c r="R107" s="23"/>
      <c r="S107" s="26"/>
      <c r="T107" s="26"/>
      <c r="U107" s="26"/>
      <c r="V107" s="16" t="str">
        <f t="shared" si="36"/>
        <v>1,0 авт. х 17 972,28 руб. = 17 972,28 руб. = 17 980,00 руб.</v>
      </c>
    </row>
    <row r="108" spans="1:22" s="2" customFormat="1" ht="20.25" x14ac:dyDescent="0.25">
      <c r="A108" s="6" t="s">
        <v>106</v>
      </c>
      <c r="B108" s="18" t="s">
        <v>107</v>
      </c>
      <c r="C108" s="17"/>
      <c r="D108" s="19">
        <v>226</v>
      </c>
      <c r="E108" s="19">
        <v>244</v>
      </c>
      <c r="F108" s="20" t="s">
        <v>108</v>
      </c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1">
        <f>M109</f>
        <v>255100</v>
      </c>
      <c r="T108" s="21">
        <f>M110</f>
        <v>271070</v>
      </c>
      <c r="U108" s="21">
        <f>M111</f>
        <v>281640</v>
      </c>
      <c r="V108" s="16"/>
    </row>
    <row r="109" spans="1:22" s="2" customFormat="1" ht="20.25" x14ac:dyDescent="0.25">
      <c r="A109" s="8"/>
      <c r="B109" s="22"/>
      <c r="C109" s="17"/>
      <c r="D109" s="8"/>
      <c r="E109" s="26"/>
      <c r="F109" s="10" t="str">
        <f>F14</f>
        <v>норматив на 2026 год :</v>
      </c>
      <c r="G109" s="24">
        <v>44</v>
      </c>
      <c r="H109" s="24" t="s">
        <v>41</v>
      </c>
      <c r="I109" s="24">
        <f>ROUNDUP(5579.37*1.0391,2)</f>
        <v>5797.5300000000007</v>
      </c>
      <c r="J109" s="24" t="s">
        <v>20</v>
      </c>
      <c r="K109" s="24">
        <f>ROUND((G109*I109),2)</f>
        <v>255091.32</v>
      </c>
      <c r="L109" s="24" t="s">
        <v>20</v>
      </c>
      <c r="M109" s="23">
        <f>ROUNDUP((K109),-1)</f>
        <v>255100</v>
      </c>
      <c r="N109" s="23" t="s">
        <v>21</v>
      </c>
      <c r="O109" s="23"/>
      <c r="P109" s="24"/>
      <c r="Q109" s="27"/>
      <c r="R109" s="27"/>
      <c r="S109" s="21"/>
      <c r="T109" s="21"/>
      <c r="U109" s="21"/>
      <c r="V109" s="16" t="str">
        <f>""&amp;TEXT(G109,"0,0")&amp;" у.ед. х "&amp;TEXT(ROUND((I109),2),"0 000,00")&amp;" руб. = "&amp;TEXT(K109,"0 000,00")&amp;" руб. = "&amp;TEXT(M109,"0 000,00")&amp;" руб."</f>
        <v>44,0 у.ед. х 5 797,53 руб. = 255 091,32 руб. = 255 100,00 руб.</v>
      </c>
    </row>
    <row r="110" spans="1:22" s="2" customFormat="1" ht="20.25" x14ac:dyDescent="0.25">
      <c r="A110" s="8"/>
      <c r="B110" s="22"/>
      <c r="C110" s="17"/>
      <c r="D110" s="8"/>
      <c r="E110" s="26"/>
      <c r="F110" s="10" t="str">
        <f>F15</f>
        <v>норматив на 2027 год :</v>
      </c>
      <c r="G110" s="24">
        <v>45</v>
      </c>
      <c r="H110" s="24" t="s">
        <v>41</v>
      </c>
      <c r="I110" s="24">
        <f>ROUNDUP(I109*(1.039),2)</f>
        <v>6023.64</v>
      </c>
      <c r="J110" s="24" t="s">
        <v>20</v>
      </c>
      <c r="K110" s="24">
        <f t="shared" ref="K110:K111" si="37">ROUND((G110*I110),2)</f>
        <v>271063.8</v>
      </c>
      <c r="L110" s="24" t="s">
        <v>20</v>
      </c>
      <c r="M110" s="23">
        <f>ROUNDUP((K110),-1)</f>
        <v>271070</v>
      </c>
      <c r="N110" s="23" t="s">
        <v>21</v>
      </c>
      <c r="O110" s="23"/>
      <c r="P110" s="24"/>
      <c r="Q110" s="27"/>
      <c r="R110" s="27"/>
      <c r="S110" s="21"/>
      <c r="T110" s="21"/>
      <c r="U110" s="21"/>
      <c r="V110" s="16" t="str">
        <f t="shared" ref="V110:V111" si="38">""&amp;TEXT(G110,"0,0")&amp;" у.ед. х "&amp;TEXT(ROUND((I110),2),"0 000,00")&amp;" руб. = "&amp;TEXT(K110,"0 000,00")&amp;" руб. = "&amp;TEXT(M110,"0 000,00")&amp;" руб."</f>
        <v>45,0 у.ед. х 6 023,64 руб. = 271 063,80 руб. = 271 070,00 руб.</v>
      </c>
    </row>
    <row r="111" spans="1:22" s="2" customFormat="1" ht="20.25" x14ac:dyDescent="0.25">
      <c r="A111" s="8"/>
      <c r="B111" s="22"/>
      <c r="C111" s="17"/>
      <c r="D111" s="8"/>
      <c r="E111" s="26"/>
      <c r="F111" s="10" t="str">
        <f>F16</f>
        <v>норматив на 2028 год :</v>
      </c>
      <c r="G111" s="24">
        <f>G110</f>
        <v>45</v>
      </c>
      <c r="H111" s="24" t="s">
        <v>41</v>
      </c>
      <c r="I111" s="24">
        <f>ROUNDUP(I110*(1.039),2)</f>
        <v>6258.5700000000006</v>
      </c>
      <c r="J111" s="24" t="s">
        <v>20</v>
      </c>
      <c r="K111" s="24">
        <f t="shared" si="37"/>
        <v>281635.65000000002</v>
      </c>
      <c r="L111" s="24" t="s">
        <v>20</v>
      </c>
      <c r="M111" s="23">
        <f>ROUNDUP((K111),-1)</f>
        <v>281640</v>
      </c>
      <c r="N111" s="23" t="s">
        <v>21</v>
      </c>
      <c r="O111" s="23"/>
      <c r="P111" s="24"/>
      <c r="Q111" s="23"/>
      <c r="R111" s="23"/>
      <c r="S111" s="26"/>
      <c r="T111" s="26"/>
      <c r="U111" s="26"/>
      <c r="V111" s="16" t="str">
        <f t="shared" si="38"/>
        <v>45,0 у.ед. х 6 258,57 руб. = 281 635,65 руб. = 281 640,00 руб.</v>
      </c>
    </row>
    <row r="112" spans="1:22" s="2" customFormat="1" ht="20.25" x14ac:dyDescent="0.25">
      <c r="A112" s="6" t="s">
        <v>109</v>
      </c>
      <c r="B112" s="18" t="s">
        <v>110</v>
      </c>
      <c r="C112" s="17"/>
      <c r="D112" s="19">
        <v>226</v>
      </c>
      <c r="E112" s="19">
        <v>244</v>
      </c>
      <c r="F112" s="20" t="s">
        <v>111</v>
      </c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1">
        <f>O113</f>
        <v>1318790</v>
      </c>
      <c r="T112" s="21">
        <f>O114</f>
        <v>1370230</v>
      </c>
      <c r="U112" s="21">
        <f>O115</f>
        <v>1423670</v>
      </c>
      <c r="V112" s="16"/>
    </row>
    <row r="113" spans="1:22" s="2" customFormat="1" ht="20.25" x14ac:dyDescent="0.25">
      <c r="A113" s="6"/>
      <c r="B113" s="22"/>
      <c r="C113" s="17"/>
      <c r="D113" s="8"/>
      <c r="E113" s="8"/>
      <c r="F113" s="10" t="str">
        <f>F14</f>
        <v>норматив на 2026 год :</v>
      </c>
      <c r="G113" s="24">
        <v>30</v>
      </c>
      <c r="H113" s="24" t="s">
        <v>95</v>
      </c>
      <c r="I113" s="28">
        <v>1</v>
      </c>
      <c r="J113" s="24" t="s">
        <v>112</v>
      </c>
      <c r="K113" s="24">
        <f>ROUNDUP(34100*(1.0822*1.0487*1.0495*1.0416*1.0391),2)</f>
        <v>43959.630000000005</v>
      </c>
      <c r="L113" s="24" t="s">
        <v>20</v>
      </c>
      <c r="M113" s="24">
        <f>ROUND((G113*I113*K113),2)</f>
        <v>1318788.8999999999</v>
      </c>
      <c r="N113" s="24" t="s">
        <v>21</v>
      </c>
      <c r="O113" s="23">
        <f>ROUNDUP((M113),-1)</f>
        <v>1318790</v>
      </c>
      <c r="P113" s="24" t="s">
        <v>113</v>
      </c>
      <c r="Q113" s="27"/>
      <c r="R113" s="27"/>
      <c r="S113" s="26"/>
      <c r="T113" s="26"/>
      <c r="U113" s="26"/>
      <c r="V113" s="16" t="str">
        <f>""&amp;TEXT(G113,"0,0")&amp;" чел. х "&amp;TEXT(I113,"0,0")&amp;" раз х "&amp;TEXT(K113,"0 000,00")&amp;" руб. = "&amp;TEXT(M113,"0 000,00")&amp;" руб. = "&amp;TEXT(O113,"0 000,00")&amp;" руб."</f>
        <v>30,0 чел. х 1,0 раз х 43 959,63 руб. = 1 318 788,90 руб. = 1 318 790,00 руб.</v>
      </c>
    </row>
    <row r="114" spans="1:22" s="2" customFormat="1" ht="20.25" x14ac:dyDescent="0.25">
      <c r="A114" s="6"/>
      <c r="B114" s="22"/>
      <c r="C114" s="17"/>
      <c r="D114" s="8"/>
      <c r="E114" s="8"/>
      <c r="F114" s="10" t="str">
        <f>F15</f>
        <v>норматив на 2027 год :</v>
      </c>
      <c r="G114" s="24">
        <v>30</v>
      </c>
      <c r="H114" s="24" t="str">
        <f>H113</f>
        <v>чел. х</v>
      </c>
      <c r="I114" s="28">
        <v>1</v>
      </c>
      <c r="J114" s="24" t="s">
        <v>112</v>
      </c>
      <c r="K114" s="24">
        <f>ROUNDUP(K113*(1.039),2)</f>
        <v>45674.060000000005</v>
      </c>
      <c r="L114" s="24" t="s">
        <v>20</v>
      </c>
      <c r="M114" s="24">
        <f t="shared" ref="M114:M115" si="39">ROUND((G114*I114*K114),2)</f>
        <v>1370221.8</v>
      </c>
      <c r="N114" s="24" t="s">
        <v>21</v>
      </c>
      <c r="O114" s="23">
        <f>ROUNDUP((M114),-1)</f>
        <v>1370230</v>
      </c>
      <c r="P114" s="24" t="s">
        <v>113</v>
      </c>
      <c r="Q114" s="27"/>
      <c r="R114" s="27"/>
      <c r="S114" s="26"/>
      <c r="T114" s="26"/>
      <c r="U114" s="26"/>
      <c r="V114" s="16" t="str">
        <f t="shared" ref="V114:V115" si="40">""&amp;TEXT(G114,"0,0")&amp;" чел. х "&amp;TEXT(I114,"0,0")&amp;" раз х "&amp;TEXT(K114,"0 000,00")&amp;" руб. = "&amp;TEXT(M114,"0 000,00")&amp;" руб. = "&amp;TEXT(O114,"0 000,00")&amp;" руб."</f>
        <v>30,0 чел. х 1,0 раз х 45 674,06 руб. = 1 370 221,80 руб. = 1 370 230,00 руб.</v>
      </c>
    </row>
    <row r="115" spans="1:22" s="2" customFormat="1" ht="29.25" customHeight="1" x14ac:dyDescent="0.25">
      <c r="A115" s="6"/>
      <c r="B115" s="22"/>
      <c r="C115" s="17"/>
      <c r="D115" s="8"/>
      <c r="E115" s="8"/>
      <c r="F115" s="10" t="str">
        <f>F16</f>
        <v>норматив на 2028 год :</v>
      </c>
      <c r="G115" s="24">
        <v>30</v>
      </c>
      <c r="H115" s="24" t="str">
        <f>H113</f>
        <v>чел. х</v>
      </c>
      <c r="I115" s="28">
        <v>1</v>
      </c>
      <c r="J115" s="24" t="s">
        <v>112</v>
      </c>
      <c r="K115" s="24">
        <f>ROUNDUP(K114*(1.039),2)</f>
        <v>47455.35</v>
      </c>
      <c r="L115" s="24" t="s">
        <v>20</v>
      </c>
      <c r="M115" s="24">
        <f t="shared" si="39"/>
        <v>1423660.5</v>
      </c>
      <c r="N115" s="24" t="s">
        <v>21</v>
      </c>
      <c r="O115" s="23">
        <f>ROUNDUP((M115),-1)</f>
        <v>1423670</v>
      </c>
      <c r="P115" s="24" t="s">
        <v>113</v>
      </c>
      <c r="Q115" s="23"/>
      <c r="R115" s="23"/>
      <c r="S115" s="26"/>
      <c r="T115" s="26"/>
      <c r="U115" s="26"/>
      <c r="V115" s="16" t="str">
        <f t="shared" si="40"/>
        <v>30,0 чел. х 1,0 раз х 47 455,35 руб. = 1 423 660,50 руб. = 1 423 670,00 руб.</v>
      </c>
    </row>
    <row r="116" spans="1:22" s="2" customFormat="1" ht="26.25" customHeight="1" x14ac:dyDescent="0.25">
      <c r="A116" s="6" t="s">
        <v>114</v>
      </c>
      <c r="B116" s="18" t="s">
        <v>115</v>
      </c>
      <c r="C116" s="17"/>
      <c r="D116" s="19">
        <v>226</v>
      </c>
      <c r="E116" s="19">
        <v>244</v>
      </c>
      <c r="F116" s="20" t="s">
        <v>116</v>
      </c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1">
        <f>M117</f>
        <v>5580</v>
      </c>
      <c r="T116" s="21">
        <f>M118</f>
        <v>5790</v>
      </c>
      <c r="U116" s="21">
        <f>M119</f>
        <v>6020</v>
      </c>
      <c r="V116" s="16"/>
    </row>
    <row r="117" spans="1:22" s="2" customFormat="1" ht="26.25" customHeight="1" x14ac:dyDescent="0.25">
      <c r="A117" s="6"/>
      <c r="B117" s="22"/>
      <c r="C117" s="17"/>
      <c r="D117" s="8"/>
      <c r="E117" s="8"/>
      <c r="F117" s="10" t="str">
        <f>F14</f>
        <v>норматив на 2026 год :</v>
      </c>
      <c r="G117" s="24">
        <v>2</v>
      </c>
      <c r="H117" s="24" t="s">
        <v>117</v>
      </c>
      <c r="I117" s="24">
        <f>ROUNDUP(2160.92*(1.0822*1.0487*1.0495*1.0416*1.0391),2)</f>
        <v>2785.73</v>
      </c>
      <c r="J117" s="24" t="s">
        <v>20</v>
      </c>
      <c r="K117" s="24">
        <f t="shared" ref="K117:K119" si="41">ROUND((I117*G117),2)</f>
        <v>5571.46</v>
      </c>
      <c r="L117" s="24" t="s">
        <v>20</v>
      </c>
      <c r="M117" s="23">
        <f>ROUNDUP((K117),-1)</f>
        <v>5580</v>
      </c>
      <c r="N117" s="23" t="s">
        <v>21</v>
      </c>
      <c r="O117" s="23"/>
      <c r="P117" s="23"/>
      <c r="Q117" s="23"/>
      <c r="R117" s="27"/>
      <c r="S117" s="26"/>
      <c r="T117" s="26"/>
      <c r="U117" s="26"/>
      <c r="V117" s="16" t="str">
        <f>""&amp;TEXT(G117,"0,0")&amp;" ед. х "&amp;TEXT(ROUND((I117),2),"0 000,00")&amp;" руб. = "&amp;TEXT(K117,"0 000,00")&amp;" руб. = "&amp;TEXT(M117,"0 000,00")&amp;" руб."</f>
        <v>2,0 ед. х 2 785,73 руб. = 5 571,46 руб. = 5 580,00 руб.</v>
      </c>
    </row>
    <row r="118" spans="1:22" s="2" customFormat="1" ht="26.25" customHeight="1" x14ac:dyDescent="0.25">
      <c r="A118" s="6"/>
      <c r="B118" s="22"/>
      <c r="C118" s="17"/>
      <c r="D118" s="8"/>
      <c r="E118" s="8"/>
      <c r="F118" s="10" t="str">
        <f>F15</f>
        <v>норматив на 2027 год :</v>
      </c>
      <c r="G118" s="24">
        <v>2</v>
      </c>
      <c r="H118" s="24" t="s">
        <v>117</v>
      </c>
      <c r="I118" s="24">
        <f>ROUNDUP(I117*(1.039),2)</f>
        <v>2894.38</v>
      </c>
      <c r="J118" s="24" t="s">
        <v>20</v>
      </c>
      <c r="K118" s="24">
        <f t="shared" si="41"/>
        <v>5788.76</v>
      </c>
      <c r="L118" s="24" t="s">
        <v>20</v>
      </c>
      <c r="M118" s="23">
        <f>ROUNDUP((K118),-1)</f>
        <v>5790</v>
      </c>
      <c r="N118" s="23" t="s">
        <v>21</v>
      </c>
      <c r="O118" s="23"/>
      <c r="P118" s="23"/>
      <c r="Q118" s="23"/>
      <c r="R118" s="27"/>
      <c r="S118" s="26"/>
      <c r="T118" s="26"/>
      <c r="U118" s="26"/>
      <c r="V118" s="16" t="str">
        <f t="shared" ref="V118:V119" si="42">""&amp;TEXT(G118,"0,0")&amp;" ед. х "&amp;TEXT(ROUND((I118),2),"0 000,00")&amp;" руб. = "&amp;TEXT(K118,"0 000,00")&amp;" руб. = "&amp;TEXT(M118,"0 000,00")&amp;" руб."</f>
        <v>2,0 ед. х 2 894,38 руб. = 5 788,76 руб. = 5 790,00 руб.</v>
      </c>
    </row>
    <row r="119" spans="1:22" s="2" customFormat="1" ht="26.25" customHeight="1" x14ac:dyDescent="0.25">
      <c r="A119" s="6"/>
      <c r="B119" s="22"/>
      <c r="C119" s="17"/>
      <c r="D119" s="8"/>
      <c r="E119" s="8"/>
      <c r="F119" s="10" t="str">
        <f>F16</f>
        <v>норматив на 2028 год :</v>
      </c>
      <c r="G119" s="24">
        <v>2</v>
      </c>
      <c r="H119" s="24" t="s">
        <v>117</v>
      </c>
      <c r="I119" s="24">
        <f>ROUNDUP(I118*(1.039),2)</f>
        <v>3007.2700000000004</v>
      </c>
      <c r="J119" s="24" t="s">
        <v>20</v>
      </c>
      <c r="K119" s="24">
        <f t="shared" si="41"/>
        <v>6014.54</v>
      </c>
      <c r="L119" s="24" t="s">
        <v>20</v>
      </c>
      <c r="M119" s="23">
        <f>ROUNDUP((K119),-1)</f>
        <v>6020</v>
      </c>
      <c r="N119" s="23" t="s">
        <v>21</v>
      </c>
      <c r="O119" s="23"/>
      <c r="P119" s="23"/>
      <c r="Q119" s="23"/>
      <c r="R119" s="23"/>
      <c r="S119" s="26"/>
      <c r="T119" s="26"/>
      <c r="U119" s="26"/>
      <c r="V119" s="16" t="str">
        <f t="shared" si="42"/>
        <v>2,0 ед. х 3 007,27 руб. = 6 014,54 руб. = 6 020,00 руб.</v>
      </c>
    </row>
    <row r="120" spans="1:22" s="2" customFormat="1" ht="20.25" x14ac:dyDescent="0.25">
      <c r="A120" s="42" t="s">
        <v>118</v>
      </c>
      <c r="B120" s="43" t="s">
        <v>119</v>
      </c>
      <c r="C120" s="17"/>
      <c r="D120" s="44">
        <v>226</v>
      </c>
      <c r="E120" s="44">
        <v>244</v>
      </c>
      <c r="F120" s="20" t="s">
        <v>120</v>
      </c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34">
        <f>M121</f>
        <v>2787480</v>
      </c>
      <c r="T120" s="34">
        <f>M122</f>
        <v>2896200</v>
      </c>
      <c r="U120" s="34">
        <f>M123</f>
        <v>3009180</v>
      </c>
      <c r="V120" s="16"/>
    </row>
    <row r="121" spans="1:22" s="2" customFormat="1" ht="20.25" x14ac:dyDescent="0.25">
      <c r="A121" s="45"/>
      <c r="B121" s="46"/>
      <c r="C121" s="17"/>
      <c r="D121" s="47"/>
      <c r="E121" s="47"/>
      <c r="F121" s="10" t="str">
        <f>F14</f>
        <v>норматив на 2026 год :</v>
      </c>
      <c r="G121" s="24">
        <v>3000</v>
      </c>
      <c r="H121" s="24" t="s">
        <v>121</v>
      </c>
      <c r="I121" s="24">
        <f>ROUNDUP(780*(1.0487*1.0495*1.0416*1.0391),2)</f>
        <v>929.16</v>
      </c>
      <c r="J121" s="24" t="s">
        <v>20</v>
      </c>
      <c r="K121" s="24">
        <f t="shared" ref="K121:K123" si="43">ROUND((I121*G121),2)</f>
        <v>2787480</v>
      </c>
      <c r="L121" s="24" t="s">
        <v>21</v>
      </c>
      <c r="M121" s="23">
        <f>ROUNDUP((K121),-1)</f>
        <v>2787480</v>
      </c>
      <c r="N121" s="23" t="s">
        <v>21</v>
      </c>
      <c r="O121" s="23"/>
      <c r="P121" s="23"/>
      <c r="Q121" s="23"/>
      <c r="R121" s="27"/>
      <c r="S121" s="35"/>
      <c r="T121" s="35"/>
      <c r="U121" s="35"/>
      <c r="V121" s="16" t="str">
        <f>""&amp;TEXT(G121,"0 000,0")&amp;" ед. х "&amp;TEXT(ROUND((I121),2)," 000,00")&amp;" руб. = "&amp;TEXT(K121,"0 000,00")&amp;" руб. = "&amp;TEXT(M121,"0 000,00")&amp;" руб."</f>
        <v>3 000,0 ед. х  929,16 руб. = 2 787 480,00 руб. = 2 787 480,00 руб.</v>
      </c>
    </row>
    <row r="122" spans="1:22" s="2" customFormat="1" ht="20.25" x14ac:dyDescent="0.25">
      <c r="A122" s="45"/>
      <c r="B122" s="46"/>
      <c r="C122" s="17"/>
      <c r="D122" s="47"/>
      <c r="E122" s="47"/>
      <c r="F122" s="10" t="str">
        <f>F15</f>
        <v>норматив на 2027 год :</v>
      </c>
      <c r="G122" s="24">
        <v>3000</v>
      </c>
      <c r="H122" s="24" t="s">
        <v>121</v>
      </c>
      <c r="I122" s="24">
        <f>ROUNDUP(I121*(1.039),2)</f>
        <v>965.4</v>
      </c>
      <c r="J122" s="24" t="s">
        <v>20</v>
      </c>
      <c r="K122" s="24">
        <f t="shared" si="43"/>
        <v>2896200</v>
      </c>
      <c r="L122" s="24" t="s">
        <v>21</v>
      </c>
      <c r="M122" s="23">
        <f>ROUNDUP((K122),-1)</f>
        <v>2896200</v>
      </c>
      <c r="N122" s="23" t="s">
        <v>21</v>
      </c>
      <c r="O122" s="23"/>
      <c r="P122" s="23"/>
      <c r="Q122" s="23"/>
      <c r="R122" s="27"/>
      <c r="S122" s="35"/>
      <c r="T122" s="35"/>
      <c r="U122" s="35"/>
      <c r="V122" s="16" t="str">
        <f t="shared" ref="V122:V123" si="44">""&amp;TEXT(G122,"0 000,0")&amp;" ед. х "&amp;TEXT(ROUND((I122),2)," 000,00")&amp;" руб. = "&amp;TEXT(K122,"0 000,00")&amp;" руб. = "&amp;TEXT(M122,"0 000,00")&amp;" руб."</f>
        <v>3 000,0 ед. х  965,40 руб. = 2 896 200,00 руб. = 2 896 200,00 руб.</v>
      </c>
    </row>
    <row r="123" spans="1:22" s="2" customFormat="1" ht="20.25" x14ac:dyDescent="0.25">
      <c r="A123" s="48"/>
      <c r="B123" s="49"/>
      <c r="C123" s="17"/>
      <c r="D123" s="50"/>
      <c r="E123" s="50"/>
      <c r="F123" s="10" t="str">
        <f>F16</f>
        <v>норматив на 2028 год :</v>
      </c>
      <c r="G123" s="24">
        <v>3000</v>
      </c>
      <c r="H123" s="24" t="s">
        <v>121</v>
      </c>
      <c r="I123" s="24">
        <f>ROUNDUP(I122*(1.039),2)</f>
        <v>1003.06</v>
      </c>
      <c r="J123" s="24" t="s">
        <v>20</v>
      </c>
      <c r="K123" s="24">
        <f t="shared" si="43"/>
        <v>3009180</v>
      </c>
      <c r="L123" s="24" t="s">
        <v>21</v>
      </c>
      <c r="M123" s="23">
        <f>ROUNDUP((K123),-1)</f>
        <v>3009180</v>
      </c>
      <c r="N123" s="23" t="s">
        <v>21</v>
      </c>
      <c r="O123" s="23"/>
      <c r="P123" s="23"/>
      <c r="Q123" s="23"/>
      <c r="R123" s="23"/>
      <c r="S123" s="37"/>
      <c r="T123" s="37"/>
      <c r="U123" s="37"/>
      <c r="V123" s="16" t="str">
        <f t="shared" si="44"/>
        <v>3 000,0 ед. х  1003,06 руб. = 3 009 180,00 руб. = 3 009 180,00 руб.</v>
      </c>
    </row>
    <row r="124" spans="1:22" s="2" customFormat="1" ht="20.25" x14ac:dyDescent="0.25">
      <c r="A124" s="42" t="s">
        <v>122</v>
      </c>
      <c r="B124" s="43" t="s">
        <v>123</v>
      </c>
      <c r="C124" s="17"/>
      <c r="D124" s="44">
        <v>226</v>
      </c>
      <c r="E124" s="44">
        <v>244</v>
      </c>
      <c r="F124" s="20" t="s">
        <v>116</v>
      </c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34">
        <f>M125</f>
        <v>87880</v>
      </c>
      <c r="T124" s="34">
        <f>M126</f>
        <v>91310</v>
      </c>
      <c r="U124" s="34">
        <f>M127</f>
        <v>94870</v>
      </c>
      <c r="V124" s="16"/>
    </row>
    <row r="125" spans="1:22" s="2" customFormat="1" ht="20.25" x14ac:dyDescent="0.25">
      <c r="A125" s="45"/>
      <c r="B125" s="46"/>
      <c r="C125" s="17"/>
      <c r="D125" s="47"/>
      <c r="E125" s="47"/>
      <c r="F125" s="10" t="str">
        <f>F14</f>
        <v>норматив на 2026 год :</v>
      </c>
      <c r="G125" s="24">
        <v>1</v>
      </c>
      <c r="H125" s="24" t="s">
        <v>121</v>
      </c>
      <c r="I125" s="24">
        <f>ROUNDUP(68166.67*(1.0822*1.0487*1.0495*1.0416*1.0391),2)</f>
        <v>87876.28</v>
      </c>
      <c r="J125" s="24" t="s">
        <v>20</v>
      </c>
      <c r="K125" s="24">
        <f t="shared" ref="K125:K127" si="45">ROUND((I125*G125),2)</f>
        <v>87876.28</v>
      </c>
      <c r="L125" s="24" t="s">
        <v>20</v>
      </c>
      <c r="M125" s="23">
        <f>ROUNDUP((K125),-1)</f>
        <v>87880</v>
      </c>
      <c r="N125" s="23" t="s">
        <v>21</v>
      </c>
      <c r="O125" s="23"/>
      <c r="P125" s="24"/>
      <c r="Q125" s="27"/>
      <c r="R125" s="27"/>
      <c r="S125" s="35"/>
      <c r="T125" s="35"/>
      <c r="U125" s="35"/>
      <c r="V125" s="16" t="str">
        <f>""&amp;TEXT(G125,"0,0")&amp;" ед. х "&amp;TEXT(I125,"0 000,00")&amp;" руб. = "&amp;TEXT(K125,"0 000,00")&amp;" руб. = "&amp;TEXT(M125,"0 000,00")&amp;" руб."</f>
        <v>1,0 ед. х 87 876,28 руб. = 87 876,28 руб. = 87 880,00 руб.</v>
      </c>
    </row>
    <row r="126" spans="1:22" s="2" customFormat="1" ht="20.25" x14ac:dyDescent="0.25">
      <c r="A126" s="45"/>
      <c r="B126" s="46"/>
      <c r="C126" s="17"/>
      <c r="D126" s="47"/>
      <c r="E126" s="47"/>
      <c r="F126" s="10" t="str">
        <f>F15</f>
        <v>норматив на 2027 год :</v>
      </c>
      <c r="G126" s="24">
        <v>1</v>
      </c>
      <c r="H126" s="24" t="s">
        <v>121</v>
      </c>
      <c r="I126" s="24">
        <f>ROUNDUP(I125*(1.039),2)</f>
        <v>91303.459999999992</v>
      </c>
      <c r="J126" s="24" t="s">
        <v>20</v>
      </c>
      <c r="K126" s="24">
        <f t="shared" si="45"/>
        <v>91303.46</v>
      </c>
      <c r="L126" s="24" t="s">
        <v>20</v>
      </c>
      <c r="M126" s="23">
        <f>ROUNDUP((K126),-1)</f>
        <v>91310</v>
      </c>
      <c r="N126" s="23" t="s">
        <v>21</v>
      </c>
      <c r="O126" s="23"/>
      <c r="P126" s="24"/>
      <c r="Q126" s="27"/>
      <c r="R126" s="27"/>
      <c r="S126" s="35"/>
      <c r="T126" s="35"/>
      <c r="U126" s="35"/>
      <c r="V126" s="16" t="str">
        <f t="shared" ref="V126:V127" si="46">""&amp;TEXT(G126,"0,0")&amp;" ед. х "&amp;TEXT(I126,"0 000,00")&amp;" руб. = "&amp;TEXT(K126,"0 000,00")&amp;" руб. = "&amp;TEXT(M126,"0 000,00")&amp;" руб."</f>
        <v>1,0 ед. х 91 303,46 руб. = 91 303,46 руб. = 91 310,00 руб.</v>
      </c>
    </row>
    <row r="127" spans="1:22" s="2" customFormat="1" ht="20.25" x14ac:dyDescent="0.25">
      <c r="A127" s="48"/>
      <c r="B127" s="49"/>
      <c r="C127" s="17"/>
      <c r="D127" s="50"/>
      <c r="E127" s="50"/>
      <c r="F127" s="10" t="str">
        <f>F16</f>
        <v>норматив на 2028 год :</v>
      </c>
      <c r="G127" s="24">
        <v>1</v>
      </c>
      <c r="H127" s="24" t="s">
        <v>121</v>
      </c>
      <c r="I127" s="24">
        <f>ROUNDUP(I126*(1.039),2)</f>
        <v>94864.299999999988</v>
      </c>
      <c r="J127" s="24" t="s">
        <v>20</v>
      </c>
      <c r="K127" s="24">
        <f t="shared" si="45"/>
        <v>94864.3</v>
      </c>
      <c r="L127" s="24" t="s">
        <v>20</v>
      </c>
      <c r="M127" s="23">
        <f>ROUNDUP((K127),-1)</f>
        <v>94870</v>
      </c>
      <c r="N127" s="23" t="s">
        <v>21</v>
      </c>
      <c r="O127" s="23"/>
      <c r="P127" s="24"/>
      <c r="Q127" s="27"/>
      <c r="R127" s="27"/>
      <c r="S127" s="37"/>
      <c r="T127" s="37"/>
      <c r="U127" s="37"/>
      <c r="V127" s="16" t="str">
        <f t="shared" si="46"/>
        <v>1,0 ед. х 94 864,30 руб. = 94 864,30 руб. = 94 870,00 руб.</v>
      </c>
    </row>
    <row r="128" spans="1:22" s="2" customFormat="1" ht="20.25" x14ac:dyDescent="0.25">
      <c r="A128" s="42" t="s">
        <v>124</v>
      </c>
      <c r="B128" s="43" t="s">
        <v>125</v>
      </c>
      <c r="C128" s="17"/>
      <c r="D128" s="44">
        <v>226</v>
      </c>
      <c r="E128" s="44">
        <v>244</v>
      </c>
      <c r="F128" s="20" t="s">
        <v>126</v>
      </c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34">
        <f>M129</f>
        <v>152240</v>
      </c>
      <c r="T128" s="34">
        <f>M130</f>
        <v>158180</v>
      </c>
      <c r="U128" s="34">
        <f>M131</f>
        <v>164350</v>
      </c>
      <c r="V128" s="16"/>
    </row>
    <row r="129" spans="1:22" s="2" customFormat="1" ht="20.25" x14ac:dyDescent="0.25">
      <c r="A129" s="45"/>
      <c r="B129" s="46"/>
      <c r="C129" s="17"/>
      <c r="D129" s="47"/>
      <c r="E129" s="47"/>
      <c r="F129" s="10" t="str">
        <f>F14</f>
        <v>норматив на 2026 год :</v>
      </c>
      <c r="G129" s="24">
        <v>213</v>
      </c>
      <c r="H129" s="24" t="s">
        <v>121</v>
      </c>
      <c r="I129" s="24">
        <f>ROUNDUP(600*(1.0487*1.0495*1.0416*1.0391),2)</f>
        <v>714.74</v>
      </c>
      <c r="J129" s="24" t="s">
        <v>20</v>
      </c>
      <c r="K129" s="24">
        <f t="shared" ref="K129:K131" si="47">ROUND((I129*G129),2)</f>
        <v>152239.62</v>
      </c>
      <c r="L129" s="24" t="s">
        <v>20</v>
      </c>
      <c r="M129" s="23">
        <f>ROUNDUP((K129),-1)</f>
        <v>152240</v>
      </c>
      <c r="N129" s="23" t="s">
        <v>21</v>
      </c>
      <c r="O129" s="23"/>
      <c r="P129" s="24"/>
      <c r="Q129" s="27"/>
      <c r="R129" s="27"/>
      <c r="S129" s="35"/>
      <c r="T129" s="35"/>
      <c r="U129" s="35"/>
      <c r="V129" s="16" t="str">
        <f>""&amp;TEXT(G129,"0,0")&amp;" ед. х "&amp;TEXT(I129,"0,00")&amp;" руб. = "&amp;TEXT(K129,"0 000,00")&amp;" руб. = "&amp;TEXT(M129,"0 000,00")&amp;" руб."</f>
        <v>213,0 ед. х 714,74 руб. = 152 239,62 руб. = 152 240,00 руб.</v>
      </c>
    </row>
    <row r="130" spans="1:22" s="2" customFormat="1" ht="20.25" x14ac:dyDescent="0.25">
      <c r="A130" s="45"/>
      <c r="B130" s="46"/>
      <c r="C130" s="17"/>
      <c r="D130" s="47"/>
      <c r="E130" s="47"/>
      <c r="F130" s="10" t="str">
        <f>F15</f>
        <v>норматив на 2027 год :</v>
      </c>
      <c r="G130" s="24">
        <v>213</v>
      </c>
      <c r="H130" s="24" t="s">
        <v>121</v>
      </c>
      <c r="I130" s="24">
        <f>ROUNDUP(I129*(1.039),2)</f>
        <v>742.62</v>
      </c>
      <c r="J130" s="24" t="s">
        <v>20</v>
      </c>
      <c r="K130" s="24">
        <f t="shared" si="47"/>
        <v>158178.06</v>
      </c>
      <c r="L130" s="24" t="s">
        <v>20</v>
      </c>
      <c r="M130" s="23">
        <f>ROUNDUP((K130),-1)</f>
        <v>158180</v>
      </c>
      <c r="N130" s="23" t="s">
        <v>21</v>
      </c>
      <c r="O130" s="23"/>
      <c r="P130" s="24"/>
      <c r="Q130" s="27"/>
      <c r="R130" s="27"/>
      <c r="S130" s="35"/>
      <c r="T130" s="35"/>
      <c r="U130" s="35"/>
      <c r="V130" s="16" t="str">
        <f t="shared" ref="V130:V131" si="48">""&amp;TEXT(G130,"0,0")&amp;" ед. х "&amp;TEXT(I130,"0,00")&amp;" руб. = "&amp;TEXT(K130,"0 000,00")&amp;" руб. = "&amp;TEXT(M130,"0 000,00")&amp;" руб."</f>
        <v>213,0 ед. х 742,62 руб. = 158 178,06 руб. = 158 180,00 руб.</v>
      </c>
    </row>
    <row r="131" spans="1:22" s="2" customFormat="1" ht="20.25" x14ac:dyDescent="0.25">
      <c r="A131" s="48"/>
      <c r="B131" s="49"/>
      <c r="C131" s="17"/>
      <c r="D131" s="50"/>
      <c r="E131" s="50"/>
      <c r="F131" s="10" t="str">
        <f>F16</f>
        <v>норматив на 2028 год :</v>
      </c>
      <c r="G131" s="24">
        <v>213</v>
      </c>
      <c r="H131" s="24" t="s">
        <v>121</v>
      </c>
      <c r="I131" s="24">
        <f>ROUNDUP(I130*(1.039),2)</f>
        <v>771.59</v>
      </c>
      <c r="J131" s="24" t="s">
        <v>20</v>
      </c>
      <c r="K131" s="24">
        <f t="shared" si="47"/>
        <v>164348.67000000001</v>
      </c>
      <c r="L131" s="24" t="s">
        <v>20</v>
      </c>
      <c r="M131" s="23">
        <f>ROUNDUP((K131),-1)</f>
        <v>164350</v>
      </c>
      <c r="N131" s="23" t="s">
        <v>21</v>
      </c>
      <c r="O131" s="23"/>
      <c r="P131" s="24"/>
      <c r="Q131" s="27"/>
      <c r="R131" s="27"/>
      <c r="S131" s="37"/>
      <c r="T131" s="37"/>
      <c r="U131" s="37"/>
      <c r="V131" s="16" t="str">
        <f t="shared" si="48"/>
        <v>213,0 ед. х 771,59 руб. = 164 348,67 руб. = 164 350,00 руб.</v>
      </c>
    </row>
    <row r="132" spans="1:22" s="2" customFormat="1" ht="20.25" x14ac:dyDescent="0.25">
      <c r="A132" s="42" t="s">
        <v>127</v>
      </c>
      <c r="B132" s="43" t="s">
        <v>128</v>
      </c>
      <c r="C132" s="17"/>
      <c r="D132" s="44">
        <v>226</v>
      </c>
      <c r="E132" s="44">
        <v>244</v>
      </c>
      <c r="F132" s="20" t="s">
        <v>126</v>
      </c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34">
        <f>M133</f>
        <v>169160</v>
      </c>
      <c r="T132" s="34">
        <f>M134</f>
        <v>175760</v>
      </c>
      <c r="U132" s="34">
        <f>M135</f>
        <v>182620</v>
      </c>
      <c r="V132" s="16"/>
    </row>
    <row r="133" spans="1:22" s="2" customFormat="1" ht="20.25" x14ac:dyDescent="0.25">
      <c r="A133" s="45"/>
      <c r="B133" s="46"/>
      <c r="C133" s="17"/>
      <c r="D133" s="47"/>
      <c r="E133" s="47"/>
      <c r="F133" s="10" t="str">
        <f>F14</f>
        <v>норматив на 2026 год :</v>
      </c>
      <c r="G133" s="24">
        <v>213</v>
      </c>
      <c r="H133" s="24" t="s">
        <v>121</v>
      </c>
      <c r="I133" s="24">
        <f>ROUNDUP(666.67*(1.0487*1.0495*1.0416*1.0391),2)</f>
        <v>794.16</v>
      </c>
      <c r="J133" s="24" t="s">
        <v>20</v>
      </c>
      <c r="K133" s="24">
        <f>ROUND((I133*G133),2)</f>
        <v>169156.08</v>
      </c>
      <c r="L133" s="24" t="s">
        <v>20</v>
      </c>
      <c r="M133" s="23">
        <f>ROUNDUP((K133),-1)</f>
        <v>169160</v>
      </c>
      <c r="N133" s="23" t="s">
        <v>21</v>
      </c>
      <c r="O133" s="23"/>
      <c r="P133" s="24"/>
      <c r="Q133" s="27"/>
      <c r="R133" s="27"/>
      <c r="S133" s="35"/>
      <c r="T133" s="35"/>
      <c r="U133" s="35"/>
      <c r="V133" s="16" t="str">
        <f>""&amp;TEXT(G133,"0,0")&amp;" ед. х "&amp;TEXT(I133,"0,00")&amp;" руб. = "&amp;TEXT(K133,"0 000,00")&amp;" руб. = "&amp;TEXT(M133,"0 000,00")&amp;" руб."</f>
        <v>213,0 ед. х 794,16 руб. = 169 156,08 руб. = 169 160,00 руб.</v>
      </c>
    </row>
    <row r="134" spans="1:22" s="2" customFormat="1" ht="20.25" x14ac:dyDescent="0.25">
      <c r="A134" s="45"/>
      <c r="B134" s="46"/>
      <c r="C134" s="17"/>
      <c r="D134" s="47"/>
      <c r="E134" s="47"/>
      <c r="F134" s="10" t="str">
        <f>F15</f>
        <v>норматив на 2027 год :</v>
      </c>
      <c r="G134" s="24">
        <v>213</v>
      </c>
      <c r="H134" s="24" t="s">
        <v>121</v>
      </c>
      <c r="I134" s="24">
        <f>ROUNDUP(I133*(1.039),2)</f>
        <v>825.14</v>
      </c>
      <c r="J134" s="24" t="s">
        <v>20</v>
      </c>
      <c r="K134" s="24">
        <f t="shared" ref="K134:K135" si="49">ROUND((I134*G134),2)</f>
        <v>175754.82</v>
      </c>
      <c r="L134" s="24" t="s">
        <v>20</v>
      </c>
      <c r="M134" s="23">
        <f>ROUNDUP((K134),-1)</f>
        <v>175760</v>
      </c>
      <c r="N134" s="23" t="s">
        <v>21</v>
      </c>
      <c r="O134" s="23"/>
      <c r="P134" s="24"/>
      <c r="Q134" s="27"/>
      <c r="R134" s="27"/>
      <c r="S134" s="35"/>
      <c r="T134" s="35"/>
      <c r="U134" s="35"/>
      <c r="V134" s="16" t="str">
        <f t="shared" ref="V134:V135" si="50">""&amp;TEXT(G134,"0,0")&amp;" ед. х "&amp;TEXT(I134,"0,00")&amp;" руб. = "&amp;TEXT(K134,"0 000,00")&amp;" руб. = "&amp;TEXT(M134,"0 000,00")&amp;" руб."</f>
        <v>213,0 ед. х 825,14 руб. = 175 754,82 руб. = 175 760,00 руб.</v>
      </c>
    </row>
    <row r="135" spans="1:22" s="2" customFormat="1" ht="20.25" x14ac:dyDescent="0.25">
      <c r="A135" s="48"/>
      <c r="B135" s="49"/>
      <c r="C135" s="17"/>
      <c r="D135" s="50"/>
      <c r="E135" s="50"/>
      <c r="F135" s="10" t="str">
        <f>F16</f>
        <v>норматив на 2028 год :</v>
      </c>
      <c r="G135" s="24">
        <v>213</v>
      </c>
      <c r="H135" s="24" t="s">
        <v>121</v>
      </c>
      <c r="I135" s="24">
        <f>ROUNDUP(I134*(1.039),2)</f>
        <v>857.33</v>
      </c>
      <c r="J135" s="24" t="s">
        <v>20</v>
      </c>
      <c r="K135" s="24">
        <f t="shared" si="49"/>
        <v>182611.29</v>
      </c>
      <c r="L135" s="24" t="s">
        <v>20</v>
      </c>
      <c r="M135" s="23">
        <f>ROUNDUP((K135),-1)</f>
        <v>182620</v>
      </c>
      <c r="N135" s="23" t="s">
        <v>21</v>
      </c>
      <c r="O135" s="23"/>
      <c r="P135" s="24"/>
      <c r="Q135" s="27"/>
      <c r="R135" s="27"/>
      <c r="S135" s="37"/>
      <c r="T135" s="37"/>
      <c r="U135" s="37"/>
      <c r="V135" s="16" t="str">
        <f t="shared" si="50"/>
        <v>213,0 ед. х 857,33 руб. = 182 611,29 руб. = 182 620,00 руб.</v>
      </c>
    </row>
    <row r="136" spans="1:22" s="2" customFormat="1" ht="28.5" customHeight="1" x14ac:dyDescent="0.25">
      <c r="A136" s="42" t="s">
        <v>129</v>
      </c>
      <c r="B136" s="18" t="s">
        <v>130</v>
      </c>
      <c r="C136" s="17"/>
      <c r="D136" s="19">
        <v>226</v>
      </c>
      <c r="E136" s="19">
        <v>244</v>
      </c>
      <c r="F136" s="20" t="s">
        <v>55</v>
      </c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1">
        <f>O137</f>
        <v>111000</v>
      </c>
      <c r="T136" s="21">
        <f>O138</f>
        <v>115330</v>
      </c>
      <c r="U136" s="21">
        <f>O139</f>
        <v>119830</v>
      </c>
      <c r="V136" s="16"/>
    </row>
    <row r="137" spans="1:22" s="2" customFormat="1" ht="20.25" x14ac:dyDescent="0.25">
      <c r="A137" s="45"/>
      <c r="B137" s="22"/>
      <c r="C137" s="17"/>
      <c r="D137" s="8"/>
      <c r="E137" s="26"/>
      <c r="F137" s="10" t="str">
        <f>F14</f>
        <v>норматив на 2026 год :</v>
      </c>
      <c r="G137" s="24">
        <v>1</v>
      </c>
      <c r="H137" s="24" t="s">
        <v>41</v>
      </c>
      <c r="I137" s="29">
        <v>1</v>
      </c>
      <c r="J137" s="24" t="s">
        <v>64</v>
      </c>
      <c r="K137" s="24">
        <v>110999.94</v>
      </c>
      <c r="L137" s="24" t="s">
        <v>20</v>
      </c>
      <c r="M137" s="24">
        <f>ROUND((G137*I137*K137),2)</f>
        <v>110999.94</v>
      </c>
      <c r="N137" s="24" t="s">
        <v>21</v>
      </c>
      <c r="O137" s="23">
        <f>ROUNDUP((M137),-1)</f>
        <v>111000</v>
      </c>
      <c r="P137" s="23" t="s">
        <v>21</v>
      </c>
      <c r="Q137" s="27"/>
      <c r="R137" s="10"/>
      <c r="S137" s="21"/>
      <c r="T137" s="21"/>
      <c r="U137" s="21"/>
      <c r="V137" s="16" t="str">
        <f t="shared" ref="V137:V139" si="51">""&amp;TEXT(G137,"0,0")&amp;" у.ед. х "&amp;TEXT(I137,"0,0")&amp;" раз х "&amp;TEXT(ROUND((K137),2),"0 000,00")&amp;" руб. = "&amp;TEXT(ROUND((M137),2),"0 000,00")&amp;" руб. = "&amp;TEXT(O137,"0 000,00")&amp;" руб."</f>
        <v>1,0 у.ед. х 1,0 раз х 110 999,94 руб. = 110 999,94 руб. = 111 000,00 руб.</v>
      </c>
    </row>
    <row r="138" spans="1:22" s="2" customFormat="1" ht="20.25" x14ac:dyDescent="0.25">
      <c r="A138" s="45"/>
      <c r="B138" s="22"/>
      <c r="C138" s="17"/>
      <c r="D138" s="8"/>
      <c r="E138" s="26"/>
      <c r="F138" s="10" t="str">
        <f>F15</f>
        <v>норматив на 2027 год :</v>
      </c>
      <c r="G138" s="24">
        <v>1</v>
      </c>
      <c r="H138" s="24" t="s">
        <v>41</v>
      </c>
      <c r="I138" s="29">
        <v>1</v>
      </c>
      <c r="J138" s="24" t="s">
        <v>64</v>
      </c>
      <c r="K138" s="24">
        <f>ROUNDUP(K137*(1.039),2)</f>
        <v>115328.93999999999</v>
      </c>
      <c r="L138" s="24" t="s">
        <v>20</v>
      </c>
      <c r="M138" s="24">
        <f t="shared" ref="M138:M139" si="52">ROUND((G138*I138*K138),2)</f>
        <v>115328.94</v>
      </c>
      <c r="N138" s="24" t="s">
        <v>21</v>
      </c>
      <c r="O138" s="23">
        <f>ROUNDUP((M138),-1)</f>
        <v>115330</v>
      </c>
      <c r="P138" s="23" t="s">
        <v>21</v>
      </c>
      <c r="Q138" s="27"/>
      <c r="R138" s="10"/>
      <c r="S138" s="21"/>
      <c r="T138" s="21"/>
      <c r="U138" s="21"/>
      <c r="V138" s="16" t="str">
        <f t="shared" si="51"/>
        <v>1,0 у.ед. х 1,0 раз х 115 328,94 руб. = 115 328,94 руб. = 115 330,00 руб.</v>
      </c>
    </row>
    <row r="139" spans="1:22" s="2" customFormat="1" ht="20.25" x14ac:dyDescent="0.25">
      <c r="A139" s="48"/>
      <c r="B139" s="22"/>
      <c r="C139" s="17"/>
      <c r="D139" s="8"/>
      <c r="E139" s="26"/>
      <c r="F139" s="10" t="str">
        <f>F16</f>
        <v>норматив на 2028 год :</v>
      </c>
      <c r="G139" s="24">
        <v>1</v>
      </c>
      <c r="H139" s="24" t="s">
        <v>41</v>
      </c>
      <c r="I139" s="29">
        <v>1</v>
      </c>
      <c r="J139" s="24" t="s">
        <v>64</v>
      </c>
      <c r="K139" s="24">
        <f>ROUNDUP(K138*(1.039),2)</f>
        <v>119826.76999999999</v>
      </c>
      <c r="L139" s="24" t="s">
        <v>20</v>
      </c>
      <c r="M139" s="24">
        <f t="shared" si="52"/>
        <v>119826.77</v>
      </c>
      <c r="N139" s="24" t="s">
        <v>21</v>
      </c>
      <c r="O139" s="23">
        <f>ROUNDUP((M139),-1)</f>
        <v>119830</v>
      </c>
      <c r="P139" s="23" t="s">
        <v>21</v>
      </c>
      <c r="Q139" s="23"/>
      <c r="R139" s="10"/>
      <c r="S139" s="26"/>
      <c r="T139" s="26"/>
      <c r="U139" s="26"/>
      <c r="V139" s="16" t="str">
        <f t="shared" si="51"/>
        <v>1,0 у.ед. х 1,0 раз х 119 826,77 руб. = 119 826,77 руб. = 119 830,00 руб.</v>
      </c>
    </row>
    <row r="140" spans="1:22" s="2" customFormat="1" ht="18.75" customHeight="1" x14ac:dyDescent="0.25">
      <c r="A140" s="42" t="s">
        <v>131</v>
      </c>
      <c r="B140" s="18" t="s">
        <v>132</v>
      </c>
      <c r="C140" s="17"/>
      <c r="D140" s="19">
        <v>226</v>
      </c>
      <c r="E140" s="19">
        <v>244</v>
      </c>
      <c r="F140" s="20" t="s">
        <v>133</v>
      </c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1">
        <f>O141</f>
        <v>32000</v>
      </c>
      <c r="T140" s="34">
        <f>O142</f>
        <v>33250</v>
      </c>
      <c r="U140" s="21">
        <f>O143</f>
        <v>34550</v>
      </c>
      <c r="V140" s="16"/>
    </row>
    <row r="141" spans="1:22" s="2" customFormat="1" ht="20.25" x14ac:dyDescent="0.25">
      <c r="A141" s="45"/>
      <c r="B141" s="22"/>
      <c r="C141" s="17"/>
      <c r="D141" s="8"/>
      <c r="E141" s="26"/>
      <c r="F141" s="10" t="str">
        <f>F14</f>
        <v>норматив на 2026 год :</v>
      </c>
      <c r="G141" s="33">
        <v>40</v>
      </c>
      <c r="H141" s="24" t="s">
        <v>134</v>
      </c>
      <c r="I141" s="33">
        <v>1</v>
      </c>
      <c r="J141" s="24" t="s">
        <v>52</v>
      </c>
      <c r="K141" s="24">
        <f>ROUNDUP(800*(1),2)</f>
        <v>800</v>
      </c>
      <c r="L141" s="24" t="s">
        <v>20</v>
      </c>
      <c r="M141" s="24">
        <f>ROUND((G141*I141*K141),2)</f>
        <v>32000</v>
      </c>
      <c r="N141" s="24" t="s">
        <v>20</v>
      </c>
      <c r="O141" s="23">
        <f>ROUNDUP((M141),-1)</f>
        <v>32000</v>
      </c>
      <c r="P141" s="23" t="s">
        <v>21</v>
      </c>
      <c r="Q141" s="27"/>
      <c r="R141" s="23"/>
      <c r="S141" s="21"/>
      <c r="T141" s="35"/>
      <c r="U141" s="21"/>
      <c r="V141" s="16" t="str">
        <f>""&amp;TEXT(G141,"0,0")&amp;" чел.-час х "&amp;TEXT(I141,"0,0")&amp;" раз х "&amp;TEXT(ROUND((K141),2)," 000,00")&amp;" руб. = "&amp;TEXT(ROUND((M141),2),"0 000,00")&amp;" руб. = "&amp;TEXT(O141,"0 000,00")&amp;" руб."</f>
        <v>40,0 чел.-час х 1,0 раз х  800,00 руб. = 32 000,00 руб. = 32 000,00 руб.</v>
      </c>
    </row>
    <row r="142" spans="1:22" s="2" customFormat="1" ht="20.25" collapsed="1" x14ac:dyDescent="0.25">
      <c r="A142" s="45"/>
      <c r="B142" s="22"/>
      <c r="C142" s="17"/>
      <c r="D142" s="8"/>
      <c r="E142" s="26"/>
      <c r="F142" s="10" t="str">
        <f>F15</f>
        <v>норматив на 2027 год :</v>
      </c>
      <c r="G142" s="33">
        <f>G141</f>
        <v>40</v>
      </c>
      <c r="H142" s="24" t="s">
        <v>134</v>
      </c>
      <c r="I142" s="33">
        <f>I141</f>
        <v>1</v>
      </c>
      <c r="J142" s="24" t="s">
        <v>52</v>
      </c>
      <c r="K142" s="24">
        <f>ROUNDUP(K141*(1.039),2)</f>
        <v>831.2</v>
      </c>
      <c r="L142" s="24" t="s">
        <v>20</v>
      </c>
      <c r="M142" s="24">
        <f t="shared" ref="M142:M143" si="53">ROUND((G142*I142*K142),2)</f>
        <v>33248</v>
      </c>
      <c r="N142" s="24" t="s">
        <v>20</v>
      </c>
      <c r="O142" s="23">
        <f>ROUNDUP((M142),-1)</f>
        <v>33250</v>
      </c>
      <c r="P142" s="23" t="s">
        <v>21</v>
      </c>
      <c r="Q142" s="36"/>
      <c r="R142" s="23"/>
      <c r="S142" s="21"/>
      <c r="T142" s="35"/>
      <c r="U142" s="21"/>
      <c r="V142" s="16" t="str">
        <f>""&amp;TEXT(G142,"0,0")&amp;" чел.-час х "&amp;TEXT(I142,"0,0")&amp;" раз х "&amp;TEXT(ROUND((K142),2)," 000,00")&amp;" руб. = "&amp;TEXT(ROUND((M142),2),"0 000,00")&amp;" руб. = "&amp;TEXT(O142,"0 000,00")&amp;" руб."</f>
        <v>40,0 чел.-час х 1,0 раз х  831,20 руб. = 33 248,00 руб. = 33 250,00 руб.</v>
      </c>
    </row>
    <row r="143" spans="1:22" s="2" customFormat="1" ht="20.25" x14ac:dyDescent="0.25">
      <c r="A143" s="48"/>
      <c r="B143" s="22"/>
      <c r="C143" s="17"/>
      <c r="D143" s="8"/>
      <c r="E143" s="26"/>
      <c r="F143" s="10" t="str">
        <f>F16</f>
        <v>норматив на 2028 год :</v>
      </c>
      <c r="G143" s="33">
        <f>G142</f>
        <v>40</v>
      </c>
      <c r="H143" s="24" t="s">
        <v>134</v>
      </c>
      <c r="I143" s="33">
        <f>I142</f>
        <v>1</v>
      </c>
      <c r="J143" s="24" t="s">
        <v>52</v>
      </c>
      <c r="K143" s="24">
        <f>ROUNDUP(K142*(1.039),2)</f>
        <v>863.62</v>
      </c>
      <c r="L143" s="24" t="s">
        <v>20</v>
      </c>
      <c r="M143" s="24">
        <f t="shared" si="53"/>
        <v>34544.800000000003</v>
      </c>
      <c r="N143" s="24" t="s">
        <v>20</v>
      </c>
      <c r="O143" s="23">
        <f>ROUNDUP((M143),-1)</f>
        <v>34550</v>
      </c>
      <c r="P143" s="23" t="s">
        <v>21</v>
      </c>
      <c r="Q143" s="23"/>
      <c r="R143" s="23"/>
      <c r="S143" s="26"/>
      <c r="T143" s="37"/>
      <c r="U143" s="26"/>
      <c r="V143" s="16" t="str">
        <f>""&amp;TEXT(G143,"0,0")&amp;" чел.-час х "&amp;TEXT(I143,"0,0")&amp;" раз х "&amp;TEXT(ROUND((K143),2)," 000,00")&amp;" руб. = "&amp;TEXT(ROUND((M143),2),"0 000,00")&amp;" руб. = "&amp;TEXT(O143,"0 000,00")&amp;" руб."</f>
        <v>40,0 чел.-час х 1,0 раз х  863,62 руб. = 34 544,80 руб. = 34 550,00 руб.</v>
      </c>
    </row>
    <row r="144" spans="1:22" s="41" customFormat="1" ht="41.25" customHeight="1" x14ac:dyDescent="0.25">
      <c r="A144" s="51" t="s">
        <v>135</v>
      </c>
      <c r="B144" s="52" t="s">
        <v>136</v>
      </c>
      <c r="C144" s="17"/>
      <c r="D144" s="13" t="s">
        <v>12</v>
      </c>
      <c r="E144" s="13" t="s">
        <v>12</v>
      </c>
      <c r="F144" s="14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53">
        <f>SUM(S145,S149,S153)</f>
        <v>4390850</v>
      </c>
      <c r="T144" s="53">
        <f t="shared" ref="T144:U144" si="54">SUM(T145,T149,T153)</f>
        <v>4566070</v>
      </c>
      <c r="U144" s="53">
        <f t="shared" si="54"/>
        <v>4746980</v>
      </c>
      <c r="V144" s="52"/>
    </row>
    <row r="145" spans="1:22" s="41" customFormat="1" ht="17.25" customHeight="1" x14ac:dyDescent="0.25">
      <c r="A145" s="42" t="s">
        <v>137</v>
      </c>
      <c r="B145" s="43" t="s">
        <v>138</v>
      </c>
      <c r="C145" s="17"/>
      <c r="D145" s="44">
        <v>310</v>
      </c>
      <c r="E145" s="44">
        <v>244</v>
      </c>
      <c r="F145" s="38" t="s">
        <v>139</v>
      </c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40"/>
      <c r="S145" s="34">
        <f>Q146</f>
        <v>1521690</v>
      </c>
      <c r="T145" s="34">
        <f>Q147</f>
        <v>1585000</v>
      </c>
      <c r="U145" s="34">
        <f>Q148</f>
        <v>1649660</v>
      </c>
      <c r="V145" s="16"/>
    </row>
    <row r="146" spans="1:22" s="41" customFormat="1" ht="53.25" customHeight="1" x14ac:dyDescent="0.25">
      <c r="A146" s="45"/>
      <c r="B146" s="46"/>
      <c r="C146" s="17"/>
      <c r="D146" s="47"/>
      <c r="E146" s="47"/>
      <c r="F146" s="10" t="str">
        <f>F14</f>
        <v>норматив на 2026 год :</v>
      </c>
      <c r="G146" s="24">
        <v>57152.65</v>
      </c>
      <c r="H146" s="24" t="s">
        <v>28</v>
      </c>
      <c r="I146" s="24">
        <v>213</v>
      </c>
      <c r="J146" s="24" t="s">
        <v>29</v>
      </c>
      <c r="K146" s="24">
        <v>8</v>
      </c>
      <c r="L146" s="24" t="s">
        <v>30</v>
      </c>
      <c r="M146" s="24">
        <v>0</v>
      </c>
      <c r="N146" s="24" t="s">
        <v>31</v>
      </c>
      <c r="O146" s="24">
        <f>ROUND((G146*(I146/K146+M146)),2)</f>
        <v>1521689.31</v>
      </c>
      <c r="P146" s="24" t="s">
        <v>20</v>
      </c>
      <c r="Q146" s="23">
        <f>ROUNDUP((O146),-1)</f>
        <v>1521690</v>
      </c>
      <c r="R146" s="23" t="s">
        <v>21</v>
      </c>
      <c r="S146" s="35"/>
      <c r="T146" s="35"/>
      <c r="U146" s="35"/>
      <c r="V146" s="16" t="str">
        <f>"норматив "&amp;TEXT(G146,"0 000,00")&amp;" руб. х ("&amp;TEXT(I146,"000,00")&amp;" шт.ед. : срок "&amp;TEXT(K146,"0")&amp;" лет + "&amp;TEXT(M146,"0,00")&amp;" шт.ед.) = "&amp;TEXT(O146,"0 000,00")&amp;" руб. = "&amp;TEXT(Q146,"0 000,00")&amp;" руб."</f>
        <v>норматив 57 152,65 руб. х (213,00 шт.ед. : срок 8 лет + 0,00 шт.ед.) = 1 521 689,31 руб. = 1 521 690,00 руб.</v>
      </c>
    </row>
    <row r="147" spans="1:22" s="41" customFormat="1" ht="52.5" customHeight="1" x14ac:dyDescent="0.25">
      <c r="A147" s="45"/>
      <c r="B147" s="46"/>
      <c r="C147" s="17"/>
      <c r="D147" s="47"/>
      <c r="E147" s="47"/>
      <c r="F147" s="10" t="str">
        <f>F15</f>
        <v>норматив на 2027 год :</v>
      </c>
      <c r="G147" s="24">
        <v>59530.2</v>
      </c>
      <c r="H147" s="24" t="s">
        <v>28</v>
      </c>
      <c r="I147" s="24">
        <v>213</v>
      </c>
      <c r="J147" s="24" t="s">
        <v>29</v>
      </c>
      <c r="K147" s="24">
        <v>8</v>
      </c>
      <c r="L147" s="24" t="s">
        <v>30</v>
      </c>
      <c r="M147" s="24">
        <v>0</v>
      </c>
      <c r="N147" s="24" t="s">
        <v>31</v>
      </c>
      <c r="O147" s="24">
        <f>ROUND((G147*(I147/K147+M147)),2)</f>
        <v>1584991.58</v>
      </c>
      <c r="P147" s="24" t="s">
        <v>20</v>
      </c>
      <c r="Q147" s="23">
        <f>ROUNDUP((O147),-1)</f>
        <v>1585000</v>
      </c>
      <c r="R147" s="23" t="s">
        <v>21</v>
      </c>
      <c r="S147" s="35"/>
      <c r="T147" s="35"/>
      <c r="U147" s="35"/>
      <c r="V147" s="16" t="str">
        <f>"норматив "&amp;TEXT(G147,"0 000,00")&amp;" руб. х ("&amp;TEXT(I147,"000,00")&amp;" шт.ед. : срок "&amp;TEXT(K147,"0")&amp;" лет + "&amp;TEXT(M147,"0,00")&amp;" шт.ед.) = "&amp;TEXT(O147,"0 000,00")&amp;" руб. = "&amp;TEXT(Q147,"0 000,00")&amp;" руб."</f>
        <v>норматив 59 530,20 руб. х (213,00 шт.ед. : срок 8 лет + 0,00 шт.ед.) = 1 584 991,58 руб. = 1 585 000,00 руб.</v>
      </c>
    </row>
    <row r="148" spans="1:22" s="41" customFormat="1" ht="55.5" customHeight="1" x14ac:dyDescent="0.25">
      <c r="A148" s="48"/>
      <c r="B148" s="49"/>
      <c r="C148" s="17"/>
      <c r="D148" s="50"/>
      <c r="E148" s="50"/>
      <c r="F148" s="10" t="str">
        <f>F16</f>
        <v>норматив на 2028 год :</v>
      </c>
      <c r="G148" s="24">
        <v>61959.040000000001</v>
      </c>
      <c r="H148" s="24" t="s">
        <v>28</v>
      </c>
      <c r="I148" s="24">
        <v>213</v>
      </c>
      <c r="J148" s="24" t="s">
        <v>29</v>
      </c>
      <c r="K148" s="24">
        <v>8</v>
      </c>
      <c r="L148" s="24" t="s">
        <v>30</v>
      </c>
      <c r="M148" s="24">
        <v>0</v>
      </c>
      <c r="N148" s="24" t="s">
        <v>31</v>
      </c>
      <c r="O148" s="24">
        <f>ROUND((G148*(I148/K148+M148)),2)</f>
        <v>1649659.44</v>
      </c>
      <c r="P148" s="24" t="s">
        <v>20</v>
      </c>
      <c r="Q148" s="23">
        <f>ROUNDUP((O148),-1)</f>
        <v>1649660</v>
      </c>
      <c r="R148" s="23" t="s">
        <v>21</v>
      </c>
      <c r="S148" s="37"/>
      <c r="T148" s="37"/>
      <c r="U148" s="37"/>
      <c r="V148" s="16" t="str">
        <f>"норматив "&amp;TEXT(G148,"0 000,00")&amp;" руб. х ("&amp;TEXT(I148,"000,00")&amp;" шт.ед. : срок "&amp;TEXT(K148,"0")&amp;" лет + "&amp;TEXT(M148,"0,00")&amp;" шт.ед.) = "&amp;TEXT(O148,"0 000,00")&amp;" руб. = "&amp;TEXT(Q148,"0 000,00")&amp;" руб."</f>
        <v>норматив 61 959,04 руб. х (213,00 шт.ед. : срок 8 лет + 0,00 шт.ед.) = 1 649 659,44 руб. = 1 649 660,00 руб.</v>
      </c>
    </row>
    <row r="149" spans="1:22" s="2" customFormat="1" ht="20.25" x14ac:dyDescent="0.25">
      <c r="A149" s="42" t="s">
        <v>140</v>
      </c>
      <c r="B149" s="43" t="s">
        <v>141</v>
      </c>
      <c r="C149" s="17"/>
      <c r="D149" s="19">
        <v>310</v>
      </c>
      <c r="E149" s="19">
        <v>244</v>
      </c>
      <c r="F149" s="20" t="s">
        <v>116</v>
      </c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1">
        <f>M150</f>
        <v>1898600</v>
      </c>
      <c r="T149" s="21">
        <f>M151</f>
        <v>1972650</v>
      </c>
      <c r="U149" s="21">
        <f>M152</f>
        <v>2049580</v>
      </c>
      <c r="V149" s="16"/>
    </row>
    <row r="150" spans="1:22" s="2" customFormat="1" ht="20.25" x14ac:dyDescent="0.25">
      <c r="A150" s="45"/>
      <c r="B150" s="54"/>
      <c r="C150" s="17"/>
      <c r="D150" s="8"/>
      <c r="E150" s="8"/>
      <c r="F150" s="10" t="str">
        <f>F14</f>
        <v>норматив на 2026 год :</v>
      </c>
      <c r="G150" s="24">
        <v>30</v>
      </c>
      <c r="H150" s="24" t="s">
        <v>56</v>
      </c>
      <c r="I150" s="24">
        <f>ROUNDUP(49092.21*(1.0822*1.0487*1.0495*1.0416*1.0391),2)</f>
        <v>63286.66</v>
      </c>
      <c r="J150" s="24" t="s">
        <v>20</v>
      </c>
      <c r="K150" s="24">
        <f>ROUND((G150*I150),2)</f>
        <v>1898599.8</v>
      </c>
      <c r="L150" s="24" t="s">
        <v>20</v>
      </c>
      <c r="M150" s="23">
        <f>ROUNDUP((K150),-1)</f>
        <v>1898600</v>
      </c>
      <c r="N150" s="23" t="s">
        <v>21</v>
      </c>
      <c r="O150" s="23"/>
      <c r="P150" s="24"/>
      <c r="Q150" s="24"/>
      <c r="R150" s="24"/>
      <c r="S150" s="21"/>
      <c r="T150" s="21"/>
      <c r="U150" s="21"/>
      <c r="V150" s="16" t="str">
        <f>""&amp;TEXT(G150,"0,0")&amp;" шт. х "&amp;TEXT(ROUND((I150),2),"0 000,00")&amp;" руб. = "&amp;TEXT(K150,"0 000,00")&amp;" руб. = "&amp;TEXT(M150,"0 000,00")&amp;" руб. "</f>
        <v xml:space="preserve">30,0 шт. х 63 286,66 руб. = 1 898 599,80 руб. = 1 898 600,00 руб. </v>
      </c>
    </row>
    <row r="151" spans="1:22" s="2" customFormat="1" ht="20.25" x14ac:dyDescent="0.25">
      <c r="A151" s="45"/>
      <c r="B151" s="54"/>
      <c r="C151" s="17"/>
      <c r="D151" s="8"/>
      <c r="E151" s="8"/>
      <c r="F151" s="10" t="str">
        <f>F15</f>
        <v>норматив на 2027 год :</v>
      </c>
      <c r="G151" s="24">
        <v>30</v>
      </c>
      <c r="H151" s="24" t="s">
        <v>56</v>
      </c>
      <c r="I151" s="24">
        <f>ROUNDUP(I150*(1.039),2)</f>
        <v>65754.84</v>
      </c>
      <c r="J151" s="24" t="s">
        <v>20</v>
      </c>
      <c r="K151" s="24">
        <f t="shared" ref="K151:K152" si="55">ROUND((G151*I151),2)</f>
        <v>1972645.2</v>
      </c>
      <c r="L151" s="24" t="s">
        <v>20</v>
      </c>
      <c r="M151" s="23">
        <f>ROUNDUP((K151),-1)</f>
        <v>1972650</v>
      </c>
      <c r="N151" s="23" t="s">
        <v>21</v>
      </c>
      <c r="O151" s="23"/>
      <c r="P151" s="24"/>
      <c r="Q151" s="36"/>
      <c r="R151" s="24"/>
      <c r="S151" s="21"/>
      <c r="T151" s="21"/>
      <c r="U151" s="21"/>
      <c r="V151" s="16" t="str">
        <f t="shared" ref="V151:V152" si="56">""&amp;TEXT(G151,"0,0")&amp;" шт. х "&amp;TEXT(ROUND((I151),2),"0 000,00")&amp;" руб. = "&amp;TEXT(K151,"0 000,00")&amp;" руб. = "&amp;TEXT(M151,"0 000,00")&amp;" руб. "</f>
        <v xml:space="preserve">30,0 шт. х 65 754,84 руб. = 1 972 645,20 руб. = 1 972 650,00 руб. </v>
      </c>
    </row>
    <row r="152" spans="1:22" s="2" customFormat="1" ht="20.25" x14ac:dyDescent="0.25">
      <c r="A152" s="48"/>
      <c r="B152" s="55"/>
      <c r="C152" s="17"/>
      <c r="D152" s="8"/>
      <c r="E152" s="8"/>
      <c r="F152" s="10" t="str">
        <f>F16</f>
        <v>норматив на 2028 год :</v>
      </c>
      <c r="G152" s="24">
        <v>30</v>
      </c>
      <c r="H152" s="24" t="s">
        <v>56</v>
      </c>
      <c r="I152" s="24">
        <f>ROUNDUP(I151*(1.039),2)</f>
        <v>68319.28</v>
      </c>
      <c r="J152" s="24" t="s">
        <v>20</v>
      </c>
      <c r="K152" s="24">
        <f t="shared" si="55"/>
        <v>2049578.4</v>
      </c>
      <c r="L152" s="24" t="s">
        <v>20</v>
      </c>
      <c r="M152" s="23">
        <f>ROUNDUP((K152),-1)</f>
        <v>2049580</v>
      </c>
      <c r="N152" s="23" t="s">
        <v>21</v>
      </c>
      <c r="O152" s="23"/>
      <c r="P152" s="24"/>
      <c r="Q152" s="56"/>
      <c r="R152" s="23"/>
      <c r="S152" s="21"/>
      <c r="T152" s="21"/>
      <c r="U152" s="21"/>
      <c r="V152" s="16" t="str">
        <f t="shared" si="56"/>
        <v xml:space="preserve">30,0 шт. х 68 319,28 руб. = 2 049 578,40 руб. = 2 049 580,00 руб. </v>
      </c>
    </row>
    <row r="153" spans="1:22" s="2" customFormat="1" ht="20.25" x14ac:dyDescent="0.25">
      <c r="A153" s="42" t="s">
        <v>142</v>
      </c>
      <c r="B153" s="43" t="s">
        <v>143</v>
      </c>
      <c r="C153" s="17"/>
      <c r="D153" s="19">
        <v>310</v>
      </c>
      <c r="E153" s="19">
        <v>244</v>
      </c>
      <c r="F153" s="20" t="s">
        <v>116</v>
      </c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1">
        <f>M154</f>
        <v>970560</v>
      </c>
      <c r="T153" s="21">
        <f>M155</f>
        <v>1008420</v>
      </c>
      <c r="U153" s="21">
        <f>M156</f>
        <v>1047740</v>
      </c>
      <c r="V153" s="16"/>
    </row>
    <row r="154" spans="1:22" s="2" customFormat="1" ht="20.25" x14ac:dyDescent="0.25">
      <c r="A154" s="45"/>
      <c r="B154" s="54"/>
      <c r="C154" s="17"/>
      <c r="D154" s="8"/>
      <c r="E154" s="8"/>
      <c r="F154" s="10" t="str">
        <f>F14</f>
        <v>норматив на 2026 год :</v>
      </c>
      <c r="G154" s="24">
        <v>1</v>
      </c>
      <c r="H154" s="24" t="s">
        <v>41</v>
      </c>
      <c r="I154" s="24">
        <f>ROUNDUP(752874.28*(1.0822*1.0487*1.0495*1.0416*1.0391),2)</f>
        <v>970559.18</v>
      </c>
      <c r="J154" s="24" t="s">
        <v>20</v>
      </c>
      <c r="K154" s="24">
        <f>ROUND((G154*I154),2)</f>
        <v>970559.18</v>
      </c>
      <c r="L154" s="24" t="s">
        <v>20</v>
      </c>
      <c r="M154" s="23">
        <f>ROUNDUP((K154),-1)</f>
        <v>970560</v>
      </c>
      <c r="N154" s="23" t="s">
        <v>21</v>
      </c>
      <c r="O154" s="23"/>
      <c r="P154" s="24"/>
      <c r="Q154" s="24"/>
      <c r="R154" s="24"/>
      <c r="S154" s="21"/>
      <c r="T154" s="21"/>
      <c r="U154" s="21"/>
      <c r="V154" s="16" t="str">
        <f>""&amp;TEXT($G$154,"0,0")&amp;" у.е. х "&amp;TEXT(I154,"0 000,00")&amp;" руб. = "&amp;TEXT(K154,"0 000,00")&amp;" руб. = "&amp;TEXT(M154,"0 000,00")&amp;" руб."</f>
        <v>1,0 у.е. х 970 559,18 руб. = 970 559,18 руб. = 970 560,00 руб.</v>
      </c>
    </row>
    <row r="155" spans="1:22" s="2" customFormat="1" ht="20.25" x14ac:dyDescent="0.25">
      <c r="A155" s="45"/>
      <c r="B155" s="54"/>
      <c r="C155" s="17"/>
      <c r="D155" s="8"/>
      <c r="E155" s="8"/>
      <c r="F155" s="10" t="str">
        <f>F15</f>
        <v>норматив на 2027 год :</v>
      </c>
      <c r="G155" s="24">
        <v>1</v>
      </c>
      <c r="H155" s="24" t="s">
        <v>41</v>
      </c>
      <c r="I155" s="24">
        <f>ROUNDUP(I154*(1.039),2)</f>
        <v>1008410.99</v>
      </c>
      <c r="J155" s="24" t="s">
        <v>20</v>
      </c>
      <c r="K155" s="24">
        <f t="shared" ref="K155:K156" si="57">ROUND((G155*I155),2)</f>
        <v>1008410.99</v>
      </c>
      <c r="L155" s="24" t="s">
        <v>20</v>
      </c>
      <c r="M155" s="23">
        <f>ROUNDUP((K155),-1)</f>
        <v>1008420</v>
      </c>
      <c r="N155" s="23" t="s">
        <v>21</v>
      </c>
      <c r="O155" s="23"/>
      <c r="P155" s="24"/>
      <c r="Q155" s="36"/>
      <c r="R155" s="24"/>
      <c r="S155" s="21"/>
      <c r="T155" s="21"/>
      <c r="U155" s="21"/>
      <c r="V155" s="16" t="str">
        <f t="shared" ref="V155:V156" si="58">""&amp;TEXT($G$154,"0,0")&amp;" у.е. х "&amp;TEXT(I155,"0 000,00")&amp;" руб. = "&amp;TEXT(K155,"0 000,00")&amp;" руб. = "&amp;TEXT(M155,"0 000,00")&amp;" руб."</f>
        <v>1,0 у.е. х 1 008 410,99 руб. = 1 008 410,99 руб. = 1 008 420,00 руб.</v>
      </c>
    </row>
    <row r="156" spans="1:22" s="2" customFormat="1" ht="20.25" x14ac:dyDescent="0.25">
      <c r="A156" s="48"/>
      <c r="B156" s="55"/>
      <c r="C156" s="17"/>
      <c r="D156" s="8"/>
      <c r="E156" s="8"/>
      <c r="F156" s="10" t="str">
        <f>F16</f>
        <v>норматив на 2028 год :</v>
      </c>
      <c r="G156" s="24">
        <v>1</v>
      </c>
      <c r="H156" s="24" t="s">
        <v>41</v>
      </c>
      <c r="I156" s="24">
        <f>ROUNDUP(I155*(1.039),2)</f>
        <v>1047739.02</v>
      </c>
      <c r="J156" s="24" t="s">
        <v>20</v>
      </c>
      <c r="K156" s="24">
        <f t="shared" si="57"/>
        <v>1047739.02</v>
      </c>
      <c r="L156" s="24" t="s">
        <v>20</v>
      </c>
      <c r="M156" s="23">
        <f>ROUNDUP((K156),-1)</f>
        <v>1047740</v>
      </c>
      <c r="N156" s="23" t="s">
        <v>21</v>
      </c>
      <c r="O156" s="23"/>
      <c r="P156" s="24"/>
      <c r="Q156" s="56"/>
      <c r="R156" s="23"/>
      <c r="S156" s="21"/>
      <c r="T156" s="21"/>
      <c r="U156" s="21"/>
      <c r="V156" s="16" t="str">
        <f t="shared" si="58"/>
        <v>1,0 у.е. х 1 047 739,02 руб. = 1 047 739,02 руб. = 1 047 740,00 руб.</v>
      </c>
    </row>
    <row r="157" spans="1:22" s="2" customFormat="1" ht="90.75" customHeight="1" x14ac:dyDescent="0.25">
      <c r="A157" s="9" t="s">
        <v>144</v>
      </c>
      <c r="B157" s="16" t="s">
        <v>145</v>
      </c>
      <c r="C157" s="17"/>
      <c r="D157" s="13" t="s">
        <v>12</v>
      </c>
      <c r="E157" s="13" t="s">
        <v>12</v>
      </c>
      <c r="F157" s="14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2">
        <f>SUM(S158,S162,S166,S170,S174,S235)</f>
        <v>8648060</v>
      </c>
      <c r="T157" s="12">
        <f t="shared" ref="T157:U157" si="59">SUM(T158,T162,T166,T170,T174,T235)</f>
        <v>8996280</v>
      </c>
      <c r="U157" s="12">
        <f t="shared" si="59"/>
        <v>9355070</v>
      </c>
      <c r="V157" s="16"/>
    </row>
    <row r="158" spans="1:22" s="2" customFormat="1" ht="20.25" x14ac:dyDescent="0.25">
      <c r="A158" s="6" t="s">
        <v>146</v>
      </c>
      <c r="B158" s="18" t="s">
        <v>147</v>
      </c>
      <c r="C158" s="17"/>
      <c r="D158" s="19">
        <v>346</v>
      </c>
      <c r="E158" s="19">
        <v>244</v>
      </c>
      <c r="F158" s="20" t="s">
        <v>116</v>
      </c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1">
        <f>M159</f>
        <v>11360</v>
      </c>
      <c r="T158" s="21">
        <f>M160</f>
        <v>11800</v>
      </c>
      <c r="U158" s="21">
        <f>M161</f>
        <v>12260</v>
      </c>
      <c r="V158" s="16"/>
    </row>
    <row r="159" spans="1:22" s="2" customFormat="1" ht="20.25" x14ac:dyDescent="0.25">
      <c r="A159" s="6"/>
      <c r="B159" s="22"/>
      <c r="C159" s="17"/>
      <c r="D159" s="8"/>
      <c r="E159" s="8"/>
      <c r="F159" s="10" t="str">
        <f>F14</f>
        <v>норматив на 2026 год :</v>
      </c>
      <c r="G159" s="24">
        <v>20</v>
      </c>
      <c r="H159" s="24" t="s">
        <v>56</v>
      </c>
      <c r="I159" s="24">
        <f>ROUNDUP(440.3*(1.0822*1.0487*1.0495*1.0416*1.0391),2)</f>
        <v>567.61</v>
      </c>
      <c r="J159" s="24" t="s">
        <v>20</v>
      </c>
      <c r="K159" s="24">
        <f>ROUND((G159*I159),2)</f>
        <v>11352.2</v>
      </c>
      <c r="L159" s="24" t="s">
        <v>20</v>
      </c>
      <c r="M159" s="23">
        <f>ROUNDUP((K159),-1)</f>
        <v>11360</v>
      </c>
      <c r="N159" s="23" t="s">
        <v>21</v>
      </c>
      <c r="O159" s="23"/>
      <c r="P159" s="24"/>
      <c r="Q159" s="24"/>
      <c r="R159" s="24"/>
      <c r="S159" s="21"/>
      <c r="T159" s="21"/>
      <c r="U159" s="21"/>
      <c r="V159" s="16" t="str">
        <f>""&amp;TEXT(G159,"0,0")&amp;" шт.ед. х "&amp;TEXT(I159,"0,00")&amp;" руб. = "&amp;TEXT(K159,"0 000,00")&amp;" руб. = "&amp;TEXT(M159,"0 000,00")&amp;" руб."</f>
        <v>20,0 шт.ед. х 567,61 руб. = 11 352,20 руб. = 11 360,00 руб.</v>
      </c>
    </row>
    <row r="160" spans="1:22" s="2" customFormat="1" ht="20.25" x14ac:dyDescent="0.25">
      <c r="A160" s="6"/>
      <c r="B160" s="22"/>
      <c r="C160" s="17"/>
      <c r="D160" s="8"/>
      <c r="E160" s="8"/>
      <c r="F160" s="10" t="str">
        <f>F15</f>
        <v>норматив на 2027 год :</v>
      </c>
      <c r="G160" s="24">
        <v>20</v>
      </c>
      <c r="H160" s="24" t="s">
        <v>56</v>
      </c>
      <c r="I160" s="24">
        <f>ROUNDUP(I159*(1.039),2)</f>
        <v>589.75</v>
      </c>
      <c r="J160" s="24" t="s">
        <v>20</v>
      </c>
      <c r="K160" s="24">
        <f t="shared" ref="K160:K161" si="60">ROUND((G160*I160),2)</f>
        <v>11795</v>
      </c>
      <c r="L160" s="24" t="s">
        <v>20</v>
      </c>
      <c r="M160" s="23">
        <f>ROUNDUP((K160),-1)</f>
        <v>11800</v>
      </c>
      <c r="N160" s="23" t="s">
        <v>21</v>
      </c>
      <c r="O160" s="23"/>
      <c r="P160" s="24"/>
      <c r="Q160" s="24"/>
      <c r="R160" s="24"/>
      <c r="S160" s="21"/>
      <c r="T160" s="21"/>
      <c r="U160" s="21"/>
      <c r="V160" s="16" t="str">
        <f t="shared" ref="V160:V161" si="61">""&amp;TEXT(G160,"0,0")&amp;" шт.ед. х "&amp;TEXT(I160,"0,00")&amp;" руб. = "&amp;TEXT(K160,"0 000,00")&amp;" руб. = "&amp;TEXT(M160,"0 000,00")&amp;" руб."</f>
        <v>20,0 шт.ед. х 589,75 руб. = 11 795,00 руб. = 11 800,00 руб.</v>
      </c>
    </row>
    <row r="161" spans="1:22" s="2" customFormat="1" ht="20.25" x14ac:dyDescent="0.25">
      <c r="A161" s="6"/>
      <c r="B161" s="22"/>
      <c r="C161" s="17"/>
      <c r="D161" s="8"/>
      <c r="E161" s="8"/>
      <c r="F161" s="10" t="str">
        <f>F16</f>
        <v>норматив на 2028 год :</v>
      </c>
      <c r="G161" s="24">
        <v>20</v>
      </c>
      <c r="H161" s="24" t="s">
        <v>56</v>
      </c>
      <c r="I161" s="24">
        <f>ROUNDUP(I160*(1.039),2)</f>
        <v>612.76</v>
      </c>
      <c r="J161" s="24" t="s">
        <v>20</v>
      </c>
      <c r="K161" s="24">
        <f t="shared" si="60"/>
        <v>12255.2</v>
      </c>
      <c r="L161" s="24" t="s">
        <v>20</v>
      </c>
      <c r="M161" s="23">
        <f>ROUNDUP((K161),-1)</f>
        <v>12260</v>
      </c>
      <c r="N161" s="23" t="s">
        <v>21</v>
      </c>
      <c r="O161" s="23"/>
      <c r="P161" s="24"/>
      <c r="Q161" s="24"/>
      <c r="R161" s="24"/>
      <c r="S161" s="21"/>
      <c r="T161" s="21"/>
      <c r="U161" s="21"/>
      <c r="V161" s="16" t="str">
        <f t="shared" si="61"/>
        <v>20,0 шт.ед. х 612,76 руб. = 12 255,20 руб. = 12 260,00 руб.</v>
      </c>
    </row>
    <row r="162" spans="1:22" s="2" customFormat="1" ht="20.25" x14ac:dyDescent="0.25">
      <c r="A162" s="6" t="s">
        <v>148</v>
      </c>
      <c r="B162" s="18" t="s">
        <v>149</v>
      </c>
      <c r="C162" s="17"/>
      <c r="D162" s="19">
        <v>346</v>
      </c>
      <c r="E162" s="19">
        <v>244</v>
      </c>
      <c r="F162" s="20" t="s">
        <v>150</v>
      </c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1">
        <f>M163</f>
        <v>4179330</v>
      </c>
      <c r="T162" s="21">
        <f>M164</f>
        <v>4353190</v>
      </c>
      <c r="U162" s="21">
        <f>M165</f>
        <v>4530800</v>
      </c>
      <c r="V162" s="16"/>
    </row>
    <row r="163" spans="1:22" s="2" customFormat="1" ht="20.25" x14ac:dyDescent="0.25">
      <c r="A163" s="6"/>
      <c r="B163" s="22"/>
      <c r="C163" s="17"/>
      <c r="D163" s="8"/>
      <c r="E163" s="8"/>
      <c r="F163" s="10" t="str">
        <f>F14</f>
        <v>норматив на 2026 год :</v>
      </c>
      <c r="G163" s="24">
        <v>213</v>
      </c>
      <c r="H163" s="24" t="s">
        <v>89</v>
      </c>
      <c r="I163" s="24">
        <v>19621.25</v>
      </c>
      <c r="J163" s="24" t="s">
        <v>20</v>
      </c>
      <c r="K163" s="24">
        <f>ROUND((G163*I163),2)</f>
        <v>4179326.25</v>
      </c>
      <c r="L163" s="24" t="s">
        <v>20</v>
      </c>
      <c r="M163" s="23">
        <f>ROUNDUP((K163),-1)</f>
        <v>4179330</v>
      </c>
      <c r="N163" s="23" t="s">
        <v>21</v>
      </c>
      <c r="O163" s="23"/>
      <c r="P163" s="24"/>
      <c r="Q163" s="24"/>
      <c r="R163" s="24"/>
      <c r="S163" s="21"/>
      <c r="T163" s="21"/>
      <c r="U163" s="21"/>
      <c r="V163" s="16" t="str">
        <f>""&amp;TEXT(G163,"000,00")&amp;" шт.ед. х норматив "&amp;TEXT(I163,"0 000,00")&amp;" руб. = "&amp;TEXT(K163,"0 000,00")&amp;" руб. = "&amp;TEXT(M163,"0 000,00")&amp;" руб."</f>
        <v>213,00 шт.ед. х норматив 19 621,25 руб. = 4 179 326,25 руб. = 4 179 330,00 руб.</v>
      </c>
    </row>
    <row r="164" spans="1:22" s="2" customFormat="1" ht="20.25" x14ac:dyDescent="0.25">
      <c r="A164" s="6"/>
      <c r="B164" s="22"/>
      <c r="C164" s="17"/>
      <c r="D164" s="8"/>
      <c r="E164" s="8"/>
      <c r="F164" s="10" t="str">
        <f>F15</f>
        <v>норматив на 2027 год :</v>
      </c>
      <c r="G164" s="24">
        <v>213</v>
      </c>
      <c r="H164" s="24" t="s">
        <v>89</v>
      </c>
      <c r="I164" s="24">
        <v>20437.490000000002</v>
      </c>
      <c r="J164" s="24" t="s">
        <v>20</v>
      </c>
      <c r="K164" s="24">
        <f t="shared" ref="K164:K165" si="62">ROUND((G164*I164),2)</f>
        <v>4353185.37</v>
      </c>
      <c r="L164" s="24" t="s">
        <v>20</v>
      </c>
      <c r="M164" s="23">
        <f>ROUNDUP((K164),-1)</f>
        <v>4353190</v>
      </c>
      <c r="N164" s="23" t="s">
        <v>21</v>
      </c>
      <c r="O164" s="23"/>
      <c r="P164" s="24"/>
      <c r="Q164" s="24"/>
      <c r="R164" s="24"/>
      <c r="S164" s="21"/>
      <c r="T164" s="21"/>
      <c r="U164" s="21"/>
      <c r="V164" s="16" t="str">
        <f>""&amp;TEXT(G164,"000,00")&amp;" шт.ед. х норматив "&amp;TEXT(I164,"0 000,00")&amp;" руб. = "&amp;TEXT(K164,"0 000,00")&amp;" руб. = "&amp;TEXT(M164,"0 000,00")&amp;" руб."</f>
        <v>213,00 шт.ед. х норматив 20 437,49 руб. = 4 353 185,37 руб. = 4 353 190,00 руб.</v>
      </c>
    </row>
    <row r="165" spans="1:22" s="2" customFormat="1" ht="20.25" x14ac:dyDescent="0.25">
      <c r="A165" s="6"/>
      <c r="B165" s="22"/>
      <c r="C165" s="17"/>
      <c r="D165" s="8"/>
      <c r="E165" s="8"/>
      <c r="F165" s="10" t="str">
        <f>F16</f>
        <v>норматив на 2028 год :</v>
      </c>
      <c r="G165" s="24">
        <v>213</v>
      </c>
      <c r="H165" s="24" t="s">
        <v>89</v>
      </c>
      <c r="I165" s="24">
        <v>21271.34</v>
      </c>
      <c r="J165" s="24" t="s">
        <v>20</v>
      </c>
      <c r="K165" s="24">
        <f t="shared" si="62"/>
        <v>4530795.42</v>
      </c>
      <c r="L165" s="24" t="s">
        <v>20</v>
      </c>
      <c r="M165" s="23">
        <f>ROUNDUP((K165),-1)</f>
        <v>4530800</v>
      </c>
      <c r="N165" s="23" t="s">
        <v>21</v>
      </c>
      <c r="O165" s="23"/>
      <c r="P165" s="24"/>
      <c r="Q165" s="24"/>
      <c r="R165" s="24"/>
      <c r="S165" s="21"/>
      <c r="T165" s="21"/>
      <c r="U165" s="21"/>
      <c r="V165" s="16" t="str">
        <f>""&amp;TEXT(G165,"000,00")&amp;" шт.ед. х норматив "&amp;TEXT(I165,"0 000,00")&amp;" руб. = "&amp;TEXT(K165,"0 000,00")&amp;" руб. = "&amp;TEXT(M165,"0 000,00")&amp;" руб."</f>
        <v>213,00 шт.ед. х норматив 21 271,34 руб. = 4 530 795,42 руб. = 4 530 800,00 руб.</v>
      </c>
    </row>
    <row r="166" spans="1:22" s="2" customFormat="1" ht="20.25" x14ac:dyDescent="0.25">
      <c r="A166" s="6" t="s">
        <v>151</v>
      </c>
      <c r="B166" s="18" t="s">
        <v>152</v>
      </c>
      <c r="C166" s="17"/>
      <c r="D166" s="44">
        <v>343</v>
      </c>
      <c r="E166" s="44">
        <v>244</v>
      </c>
      <c r="F166" s="20" t="s">
        <v>153</v>
      </c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34">
        <f>M167</f>
        <v>53190</v>
      </c>
      <c r="T166" s="34">
        <f>M168</f>
        <v>55270</v>
      </c>
      <c r="U166" s="34">
        <f>M169</f>
        <v>57430</v>
      </c>
      <c r="V166" s="16"/>
    </row>
    <row r="167" spans="1:22" s="2" customFormat="1" ht="20.25" x14ac:dyDescent="0.25">
      <c r="A167" s="6"/>
      <c r="B167" s="22"/>
      <c r="C167" s="17"/>
      <c r="D167" s="47"/>
      <c r="E167" s="47"/>
      <c r="F167" s="10" t="str">
        <f>F14</f>
        <v>норматив на 2026 год :</v>
      </c>
      <c r="G167" s="24">
        <v>800</v>
      </c>
      <c r="H167" s="24" t="s">
        <v>154</v>
      </c>
      <c r="I167" s="24">
        <f>ROUNDUP(63.97*(1.0391),2)</f>
        <v>66.48</v>
      </c>
      <c r="J167" s="24" t="s">
        <v>20</v>
      </c>
      <c r="K167" s="24">
        <f>ROUND((G167*I167),2)</f>
        <v>53184</v>
      </c>
      <c r="L167" s="24" t="s">
        <v>20</v>
      </c>
      <c r="M167" s="23">
        <f>ROUNDUP((K167),-1)</f>
        <v>53190</v>
      </c>
      <c r="N167" s="23" t="s">
        <v>21</v>
      </c>
      <c r="O167" s="23"/>
      <c r="P167" s="24"/>
      <c r="Q167" s="27"/>
      <c r="R167" s="27"/>
      <c r="S167" s="35"/>
      <c r="T167" s="35"/>
      <c r="U167" s="35"/>
      <c r="V167" s="16" t="str">
        <f>""&amp;TEXT(G167,"0,0")&amp;" л. х "&amp;TEXT(I167,"0,00")&amp;" руб. = "&amp;TEXT(K167,"0 000,00")&amp;" руб. = "&amp;TEXT(M167,"0 000,00")&amp;" руб."</f>
        <v>800,0 л. х 66,48 руб. = 53 184,00 руб. = 53 190,00 руб.</v>
      </c>
    </row>
    <row r="168" spans="1:22" s="2" customFormat="1" ht="20.25" x14ac:dyDescent="0.25">
      <c r="A168" s="6"/>
      <c r="B168" s="22"/>
      <c r="C168" s="17"/>
      <c r="D168" s="47"/>
      <c r="E168" s="47"/>
      <c r="F168" s="10" t="str">
        <f>F15</f>
        <v>норматив на 2027 год :</v>
      </c>
      <c r="G168" s="24">
        <v>800</v>
      </c>
      <c r="H168" s="24" t="s">
        <v>154</v>
      </c>
      <c r="I168" s="24">
        <f>ROUNDUP(I167*(1.039),2)</f>
        <v>69.08</v>
      </c>
      <c r="J168" s="24" t="s">
        <v>20</v>
      </c>
      <c r="K168" s="24">
        <f t="shared" ref="K168:K169" si="63">ROUND((G168*I168),2)</f>
        <v>55264</v>
      </c>
      <c r="L168" s="24" t="s">
        <v>20</v>
      </c>
      <c r="M168" s="23">
        <f>ROUNDUP((K168),-1)</f>
        <v>55270</v>
      </c>
      <c r="N168" s="23" t="s">
        <v>21</v>
      </c>
      <c r="O168" s="23"/>
      <c r="P168" s="24"/>
      <c r="Q168" s="27"/>
      <c r="R168" s="27"/>
      <c r="S168" s="35"/>
      <c r="T168" s="35"/>
      <c r="U168" s="35"/>
      <c r="V168" s="16" t="str">
        <f t="shared" ref="V168:V169" si="64">""&amp;TEXT(G168,"0,0")&amp;" л. х "&amp;TEXT(I168,"0,00")&amp;" руб. = "&amp;TEXT(K168,"0 000,00")&amp;" руб. = "&amp;TEXT(M168,"0 000,00")&amp;" руб."</f>
        <v>800,0 л. х 69,08 руб. = 55 264,00 руб. = 55 270,00 руб.</v>
      </c>
    </row>
    <row r="169" spans="1:22" s="2" customFormat="1" ht="20.25" x14ac:dyDescent="0.25">
      <c r="A169" s="6"/>
      <c r="B169" s="22"/>
      <c r="C169" s="17"/>
      <c r="D169" s="50"/>
      <c r="E169" s="50"/>
      <c r="F169" s="10" t="str">
        <f>F16</f>
        <v>норматив на 2028 год :</v>
      </c>
      <c r="G169" s="24">
        <v>800</v>
      </c>
      <c r="H169" s="24" t="s">
        <v>154</v>
      </c>
      <c r="I169" s="24">
        <f>ROUNDUP(I168*(1.039),2)</f>
        <v>71.78</v>
      </c>
      <c r="J169" s="24" t="s">
        <v>20</v>
      </c>
      <c r="K169" s="24">
        <f t="shared" si="63"/>
        <v>57424</v>
      </c>
      <c r="L169" s="24" t="s">
        <v>20</v>
      </c>
      <c r="M169" s="23">
        <f>ROUNDUP((K169),-1)</f>
        <v>57430</v>
      </c>
      <c r="N169" s="23" t="s">
        <v>21</v>
      </c>
      <c r="O169" s="23"/>
      <c r="P169" s="24"/>
      <c r="Q169" s="27"/>
      <c r="R169" s="27"/>
      <c r="S169" s="37"/>
      <c r="T169" s="37"/>
      <c r="U169" s="37"/>
      <c r="V169" s="16" t="str">
        <f t="shared" si="64"/>
        <v>800,0 л. х 71,78 руб. = 57 424,00 руб. = 57 430,00 руб.</v>
      </c>
    </row>
    <row r="170" spans="1:22" s="2" customFormat="1" ht="20.25" x14ac:dyDescent="0.25">
      <c r="A170" s="6" t="s">
        <v>155</v>
      </c>
      <c r="B170" s="43" t="s">
        <v>156</v>
      </c>
      <c r="C170" s="17"/>
      <c r="D170" s="19">
        <v>346</v>
      </c>
      <c r="E170" s="19">
        <v>244</v>
      </c>
      <c r="F170" s="20" t="s">
        <v>157</v>
      </c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1">
        <f>M171</f>
        <v>89760</v>
      </c>
      <c r="T170" s="21">
        <f>M172</f>
        <v>93260</v>
      </c>
      <c r="U170" s="21">
        <f>M173</f>
        <v>96890</v>
      </c>
      <c r="V170" s="16"/>
    </row>
    <row r="171" spans="1:22" s="2" customFormat="1" ht="20.25" x14ac:dyDescent="0.25">
      <c r="A171" s="6"/>
      <c r="B171" s="46"/>
      <c r="C171" s="17"/>
      <c r="D171" s="8"/>
      <c r="E171" s="26"/>
      <c r="F171" s="10" t="str">
        <f>F14</f>
        <v>норматив на 2026 год :</v>
      </c>
      <c r="G171" s="24">
        <v>4</v>
      </c>
      <c r="H171" s="24" t="s">
        <v>56</v>
      </c>
      <c r="I171" s="24">
        <f>ROUNDUP(8950*(1.0487*1.0495*1.0416*1.0391),2)+ROUNDUP((45333.32/4)*(1.0391),2)</f>
        <v>22437.9</v>
      </c>
      <c r="J171" s="24" t="s">
        <v>20</v>
      </c>
      <c r="K171" s="24">
        <f t="shared" ref="K171:K173" si="65">ROUND((G171*I171),2)</f>
        <v>89751.6</v>
      </c>
      <c r="L171" s="24" t="s">
        <v>20</v>
      </c>
      <c r="M171" s="23">
        <f>ROUNDUP((K171),-1)</f>
        <v>89760</v>
      </c>
      <c r="N171" s="23" t="s">
        <v>21</v>
      </c>
      <c r="O171" s="23"/>
      <c r="P171" s="24"/>
      <c r="Q171" s="27"/>
      <c r="R171" s="27"/>
      <c r="S171" s="21"/>
      <c r="T171" s="21"/>
      <c r="U171" s="21"/>
      <c r="V171" s="16" t="str">
        <f>""&amp;TEXT(G171,"0,0")&amp;" шт. х "&amp;TEXT(ROUND((I171),2),"0 000,00")&amp;" руб. = "&amp;TEXT(ROUND((K171),2),"0 000,00")&amp;" руб. = "&amp;TEXT(M171,"0 000,00")&amp;" руб."</f>
        <v>4,0 шт. х 22 437,90 руб. = 89 751,60 руб. = 89 760,00 руб.</v>
      </c>
    </row>
    <row r="172" spans="1:22" s="2" customFormat="1" ht="20.25" x14ac:dyDescent="0.25">
      <c r="A172" s="6"/>
      <c r="B172" s="46"/>
      <c r="C172" s="17"/>
      <c r="D172" s="8"/>
      <c r="E172" s="26"/>
      <c r="F172" s="10" t="str">
        <f>F15</f>
        <v>норматив на 2027 год :</v>
      </c>
      <c r="G172" s="24">
        <v>4</v>
      </c>
      <c r="H172" s="24" t="s">
        <v>56</v>
      </c>
      <c r="I172" s="24">
        <f>ROUNDUP(I171*(1.039),2)</f>
        <v>23312.98</v>
      </c>
      <c r="J172" s="24" t="s">
        <v>20</v>
      </c>
      <c r="K172" s="24">
        <f t="shared" si="65"/>
        <v>93251.92</v>
      </c>
      <c r="L172" s="24" t="s">
        <v>20</v>
      </c>
      <c r="M172" s="23">
        <f>ROUNDUP((K172),-1)</f>
        <v>93260</v>
      </c>
      <c r="N172" s="23" t="s">
        <v>21</v>
      </c>
      <c r="O172" s="23"/>
      <c r="P172" s="24"/>
      <c r="Q172" s="27"/>
      <c r="R172" s="27"/>
      <c r="S172" s="21"/>
      <c r="T172" s="21"/>
      <c r="U172" s="21"/>
      <c r="V172" s="16" t="str">
        <f t="shared" ref="V172:V173" si="66">""&amp;TEXT(G172,"0,0")&amp;" шт. х "&amp;TEXT(ROUND((I172),2),"0 000,00")&amp;" руб. = "&amp;TEXT(ROUND((K172),2),"0 000,00")&amp;" руб. = "&amp;TEXT(M172,"0 000,00")&amp;" руб."</f>
        <v>4,0 шт. х 23 312,98 руб. = 93 251,92 руб. = 93 260,00 руб.</v>
      </c>
    </row>
    <row r="173" spans="1:22" s="2" customFormat="1" ht="20.25" x14ac:dyDescent="0.25">
      <c r="A173" s="6"/>
      <c r="B173" s="49"/>
      <c r="C173" s="17"/>
      <c r="D173" s="8"/>
      <c r="E173" s="26"/>
      <c r="F173" s="10" t="str">
        <f>F16</f>
        <v>норматив на 2028 год :</v>
      </c>
      <c r="G173" s="24">
        <v>4</v>
      </c>
      <c r="H173" s="24" t="s">
        <v>56</v>
      </c>
      <c r="I173" s="24">
        <f>ROUNDUP(I172*(1.039),2)</f>
        <v>24222.19</v>
      </c>
      <c r="J173" s="24" t="s">
        <v>20</v>
      </c>
      <c r="K173" s="24">
        <f t="shared" si="65"/>
        <v>96888.76</v>
      </c>
      <c r="L173" s="24" t="s">
        <v>20</v>
      </c>
      <c r="M173" s="23">
        <f>ROUNDUP((K173),-1)</f>
        <v>96890</v>
      </c>
      <c r="N173" s="23" t="s">
        <v>21</v>
      </c>
      <c r="O173" s="23"/>
      <c r="P173" s="24"/>
      <c r="Q173" s="27"/>
      <c r="R173" s="27"/>
      <c r="S173" s="26"/>
      <c r="T173" s="26"/>
      <c r="U173" s="26"/>
      <c r="V173" s="16" t="str">
        <f t="shared" si="66"/>
        <v>4,0 шт. х 24 222,19 руб. = 96 888,76 руб. = 96 890,00 руб.</v>
      </c>
    </row>
    <row r="174" spans="1:22" s="2" customFormat="1" ht="50.25" customHeight="1" x14ac:dyDescent="0.25">
      <c r="A174" s="7" t="s">
        <v>158</v>
      </c>
      <c r="B174" s="52" t="s">
        <v>159</v>
      </c>
      <c r="C174" s="17"/>
      <c r="D174" s="13" t="s">
        <v>12</v>
      </c>
      <c r="E174" s="13" t="s">
        <v>12</v>
      </c>
      <c r="F174" s="14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7">
        <f>SUM(S175:S234)</f>
        <v>4249620</v>
      </c>
      <c r="T174" s="17">
        <f t="shared" ref="T174:U174" si="67">SUM(T175:T234)</f>
        <v>4415460</v>
      </c>
      <c r="U174" s="17">
        <f t="shared" si="67"/>
        <v>4587790</v>
      </c>
      <c r="V174" s="16"/>
    </row>
    <row r="175" spans="1:22" s="2" customFormat="1" ht="20.25" x14ac:dyDescent="0.25">
      <c r="A175" s="6" t="s">
        <v>160</v>
      </c>
      <c r="B175" s="18" t="s">
        <v>161</v>
      </c>
      <c r="C175" s="17"/>
      <c r="D175" s="19">
        <v>341</v>
      </c>
      <c r="E175" s="19">
        <v>244</v>
      </c>
      <c r="F175" s="20" t="s">
        <v>116</v>
      </c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34">
        <f>M176</f>
        <v>58740</v>
      </c>
      <c r="T175" s="34">
        <f>M177</f>
        <v>61030</v>
      </c>
      <c r="U175" s="34">
        <f>M178</f>
        <v>63410</v>
      </c>
      <c r="V175" s="16"/>
    </row>
    <row r="176" spans="1:22" s="2" customFormat="1" ht="20.25" x14ac:dyDescent="0.25">
      <c r="A176" s="6"/>
      <c r="B176" s="22"/>
      <c r="C176" s="17"/>
      <c r="D176" s="8"/>
      <c r="E176" s="26"/>
      <c r="F176" s="10" t="str">
        <f>F14</f>
        <v>норматив на 2026 год :</v>
      </c>
      <c r="G176" s="24">
        <v>64</v>
      </c>
      <c r="H176" s="24" t="s">
        <v>56</v>
      </c>
      <c r="I176" s="24">
        <f>ROUNDUP(711.84*(1.0822*1.0487*1.0495*1.0416*1.0391),2)</f>
        <v>917.67</v>
      </c>
      <c r="J176" s="24" t="s">
        <v>20</v>
      </c>
      <c r="K176" s="24">
        <f t="shared" ref="K176:K178" si="68">ROUND((G176*I176),2)</f>
        <v>58730.879999999997</v>
      </c>
      <c r="L176" s="24" t="s">
        <v>20</v>
      </c>
      <c r="M176" s="23">
        <f>ROUNDUP((K176),-1)</f>
        <v>58740</v>
      </c>
      <c r="N176" s="23" t="s">
        <v>21</v>
      </c>
      <c r="O176" s="23"/>
      <c r="P176" s="24"/>
      <c r="Q176" s="27"/>
      <c r="R176" s="27"/>
      <c r="S176" s="35"/>
      <c r="T176" s="35"/>
      <c r="U176" s="35"/>
      <c r="V176" s="16" t="str">
        <f>""&amp;TEXT(G176,"0,0")&amp;" шт. х "&amp;TEXT(ROUND((I176),2),"0,00")&amp;" руб. = "&amp;TEXT(ROUND((K176),2),"0 000,00")&amp;" руб. = "&amp;TEXT(M176,"0 000,00")&amp;" руб."</f>
        <v>64,0 шт. х 917,67 руб. = 58 730,88 руб. = 58 740,00 руб.</v>
      </c>
    </row>
    <row r="177" spans="1:22" s="2" customFormat="1" ht="20.25" x14ac:dyDescent="0.25">
      <c r="A177" s="6"/>
      <c r="B177" s="22"/>
      <c r="C177" s="17"/>
      <c r="D177" s="8"/>
      <c r="E177" s="26"/>
      <c r="F177" s="10" t="str">
        <f>F15</f>
        <v>норматив на 2027 год :</v>
      </c>
      <c r="G177" s="24">
        <v>64</v>
      </c>
      <c r="H177" s="24" t="s">
        <v>56</v>
      </c>
      <c r="I177" s="24">
        <f>ROUNDUP(I176*(1.039),2)</f>
        <v>953.46</v>
      </c>
      <c r="J177" s="24" t="s">
        <v>20</v>
      </c>
      <c r="K177" s="24">
        <f t="shared" si="68"/>
        <v>61021.440000000002</v>
      </c>
      <c r="L177" s="24" t="s">
        <v>20</v>
      </c>
      <c r="M177" s="23">
        <f>ROUNDUP((K177),-1)</f>
        <v>61030</v>
      </c>
      <c r="N177" s="23" t="s">
        <v>21</v>
      </c>
      <c r="O177" s="23"/>
      <c r="P177" s="24"/>
      <c r="Q177" s="27"/>
      <c r="R177" s="27"/>
      <c r="S177" s="35"/>
      <c r="T177" s="35"/>
      <c r="U177" s="35"/>
      <c r="V177" s="16" t="str">
        <f t="shared" ref="V177:V178" si="69">""&amp;TEXT(G177,"0,0")&amp;" шт. х "&amp;TEXT(ROUND((I177),2),"0,00")&amp;" руб. = "&amp;TEXT(ROUND((K177),2),"0 000,00")&amp;" руб. = "&amp;TEXT(M177,"0 000,00")&amp;" руб."</f>
        <v>64,0 шт. х 953,46 руб. = 61 021,44 руб. = 61 030,00 руб.</v>
      </c>
    </row>
    <row r="178" spans="1:22" s="2" customFormat="1" ht="20.25" x14ac:dyDescent="0.25">
      <c r="A178" s="6"/>
      <c r="B178" s="22"/>
      <c r="C178" s="17"/>
      <c r="D178" s="8"/>
      <c r="E178" s="26"/>
      <c r="F178" s="10" t="str">
        <f>F16</f>
        <v>норматив на 2028 год :</v>
      </c>
      <c r="G178" s="24">
        <v>64</v>
      </c>
      <c r="H178" s="24" t="s">
        <v>56</v>
      </c>
      <c r="I178" s="24">
        <f>ROUNDUP(I177*(1.039),2)</f>
        <v>990.65</v>
      </c>
      <c r="J178" s="24" t="s">
        <v>20</v>
      </c>
      <c r="K178" s="24">
        <f t="shared" si="68"/>
        <v>63401.599999999999</v>
      </c>
      <c r="L178" s="24" t="s">
        <v>20</v>
      </c>
      <c r="M178" s="23">
        <f>ROUNDUP((K178),-1)</f>
        <v>63410</v>
      </c>
      <c r="N178" s="23" t="s">
        <v>21</v>
      </c>
      <c r="O178" s="23"/>
      <c r="P178" s="24"/>
      <c r="Q178" s="27"/>
      <c r="R178" s="27"/>
      <c r="S178" s="37"/>
      <c r="T178" s="37"/>
      <c r="U178" s="37"/>
      <c r="V178" s="16" t="str">
        <f t="shared" si="69"/>
        <v>64,0 шт. х 990,65 руб. = 63 401,60 руб. = 63 410,00 руб.</v>
      </c>
    </row>
    <row r="179" spans="1:22" s="2" customFormat="1" ht="20.25" x14ac:dyDescent="0.25">
      <c r="A179" s="6" t="s">
        <v>162</v>
      </c>
      <c r="B179" s="18" t="s">
        <v>163</v>
      </c>
      <c r="C179" s="17"/>
      <c r="D179" s="19">
        <v>341</v>
      </c>
      <c r="E179" s="19">
        <v>244</v>
      </c>
      <c r="F179" s="20" t="s">
        <v>116</v>
      </c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1">
        <f>M180</f>
        <v>13100</v>
      </c>
      <c r="T179" s="21">
        <f>M181</f>
        <v>13610</v>
      </c>
      <c r="U179" s="21">
        <f>M182</f>
        <v>14140</v>
      </c>
      <c r="V179" s="16"/>
    </row>
    <row r="180" spans="1:22" s="2" customFormat="1" ht="20.25" x14ac:dyDescent="0.25">
      <c r="A180" s="6"/>
      <c r="B180" s="22"/>
      <c r="C180" s="17"/>
      <c r="D180" s="8"/>
      <c r="E180" s="26"/>
      <c r="F180" s="10" t="str">
        <f>F14</f>
        <v>норматив на 2026 год :</v>
      </c>
      <c r="G180" s="24">
        <v>11</v>
      </c>
      <c r="H180" s="24" t="s">
        <v>56</v>
      </c>
      <c r="I180" s="24">
        <f>ROUNDUP(923.64*(1.0822*1.0487*1.0495*1.0416*1.0391),2)</f>
        <v>1190.7</v>
      </c>
      <c r="J180" s="24" t="s">
        <v>20</v>
      </c>
      <c r="K180" s="24">
        <f t="shared" ref="K180:K182" si="70">ROUND((G180*I180),2)</f>
        <v>13097.7</v>
      </c>
      <c r="L180" s="24" t="s">
        <v>20</v>
      </c>
      <c r="M180" s="23">
        <f>ROUNDUP((K180),-1)</f>
        <v>13100</v>
      </c>
      <c r="N180" s="23" t="s">
        <v>21</v>
      </c>
      <c r="O180" s="23"/>
      <c r="P180" s="24"/>
      <c r="Q180" s="27"/>
      <c r="R180" s="27"/>
      <c r="S180" s="21"/>
      <c r="T180" s="21"/>
      <c r="U180" s="21"/>
      <c r="V180" s="16" t="str">
        <f>""&amp;TEXT(G180,"0,0")&amp;" шт. х "&amp;TEXT(I180,"0 000,00")&amp;" руб. = "&amp;TEXT(K180,"0 000,00")&amp;" руб. = "&amp;TEXT(M180,"0 000,00")&amp;" руб."</f>
        <v>11,0 шт. х 1 190,70 руб. = 13 097,70 руб. = 13 100,00 руб.</v>
      </c>
    </row>
    <row r="181" spans="1:22" s="2" customFormat="1" ht="20.25" x14ac:dyDescent="0.25">
      <c r="A181" s="6"/>
      <c r="B181" s="22"/>
      <c r="C181" s="17"/>
      <c r="D181" s="8"/>
      <c r="E181" s="26"/>
      <c r="F181" s="10" t="str">
        <f>F15</f>
        <v>норматив на 2027 год :</v>
      </c>
      <c r="G181" s="24">
        <v>11</v>
      </c>
      <c r="H181" s="24" t="s">
        <v>56</v>
      </c>
      <c r="I181" s="24">
        <f>ROUNDUP(I180*(1.039),2)</f>
        <v>1237.1400000000001</v>
      </c>
      <c r="J181" s="24" t="s">
        <v>20</v>
      </c>
      <c r="K181" s="24">
        <f t="shared" si="70"/>
        <v>13608.54</v>
      </c>
      <c r="L181" s="24" t="s">
        <v>20</v>
      </c>
      <c r="M181" s="23">
        <f>ROUNDUP((K181),-1)</f>
        <v>13610</v>
      </c>
      <c r="N181" s="23" t="s">
        <v>21</v>
      </c>
      <c r="O181" s="23"/>
      <c r="P181" s="24"/>
      <c r="Q181" s="27"/>
      <c r="R181" s="27"/>
      <c r="S181" s="21"/>
      <c r="T181" s="21"/>
      <c r="U181" s="21"/>
      <c r="V181" s="16" t="str">
        <f t="shared" ref="V181:V182" si="71">""&amp;TEXT(G181,"0,0")&amp;" шт. х "&amp;TEXT(I181,"0 000,00")&amp;" руб. = "&amp;TEXT(K181,"0 000,00")&amp;" руб. = "&amp;TEXT(M181,"0 000,00")&amp;" руб."</f>
        <v>11,0 шт. х 1 237,14 руб. = 13 608,54 руб. = 13 610,00 руб.</v>
      </c>
    </row>
    <row r="182" spans="1:22" s="2" customFormat="1" ht="20.25" x14ac:dyDescent="0.25">
      <c r="A182" s="6"/>
      <c r="B182" s="22"/>
      <c r="C182" s="17"/>
      <c r="D182" s="8"/>
      <c r="E182" s="26"/>
      <c r="F182" s="10" t="str">
        <f>F16</f>
        <v>норматив на 2028 год :</v>
      </c>
      <c r="G182" s="24">
        <v>11</v>
      </c>
      <c r="H182" s="24" t="s">
        <v>56</v>
      </c>
      <c r="I182" s="24">
        <f>ROUNDUP(I181*(1.039),2)</f>
        <v>1285.3900000000001</v>
      </c>
      <c r="J182" s="24" t="s">
        <v>20</v>
      </c>
      <c r="K182" s="24">
        <f t="shared" si="70"/>
        <v>14139.29</v>
      </c>
      <c r="L182" s="24" t="s">
        <v>20</v>
      </c>
      <c r="M182" s="23">
        <f>ROUNDUP((K182),-1)</f>
        <v>14140</v>
      </c>
      <c r="N182" s="23" t="s">
        <v>21</v>
      </c>
      <c r="O182" s="23"/>
      <c r="P182" s="24"/>
      <c r="Q182" s="27"/>
      <c r="R182" s="27"/>
      <c r="S182" s="26"/>
      <c r="T182" s="26"/>
      <c r="U182" s="26"/>
      <c r="V182" s="16" t="str">
        <f t="shared" si="71"/>
        <v>11,0 шт. х 1 285,39 руб. = 14 139,29 руб. = 14 140,00 руб.</v>
      </c>
    </row>
    <row r="183" spans="1:22" s="2" customFormat="1" ht="28.5" customHeight="1" x14ac:dyDescent="0.25">
      <c r="A183" s="6" t="s">
        <v>164</v>
      </c>
      <c r="B183" s="18" t="s">
        <v>165</v>
      </c>
      <c r="C183" s="17"/>
      <c r="D183" s="19">
        <v>341</v>
      </c>
      <c r="E183" s="19">
        <v>244</v>
      </c>
      <c r="F183" s="20" t="s">
        <v>166</v>
      </c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1">
        <f>M184</f>
        <v>9730</v>
      </c>
      <c r="T183" s="21">
        <f>M185</f>
        <v>10110</v>
      </c>
      <c r="U183" s="21">
        <f>M186</f>
        <v>10500</v>
      </c>
      <c r="V183" s="16"/>
    </row>
    <row r="184" spans="1:22" s="2" customFormat="1" ht="20.25" x14ac:dyDescent="0.25">
      <c r="A184" s="6"/>
      <c r="B184" s="22"/>
      <c r="C184" s="17"/>
      <c r="D184" s="8"/>
      <c r="E184" s="26"/>
      <c r="F184" s="10" t="str">
        <f>F14</f>
        <v>норматив на 2026 год :</v>
      </c>
      <c r="G184" s="24">
        <v>64</v>
      </c>
      <c r="H184" s="24" t="s">
        <v>56</v>
      </c>
      <c r="I184" s="24">
        <v>151.91</v>
      </c>
      <c r="J184" s="24" t="s">
        <v>20</v>
      </c>
      <c r="K184" s="24">
        <f t="shared" ref="K184:K186" si="72">ROUND((G184*I184),2)</f>
        <v>9722.24</v>
      </c>
      <c r="L184" s="24" t="s">
        <v>20</v>
      </c>
      <c r="M184" s="23">
        <f>ROUNDUP((K184),-1)</f>
        <v>9730</v>
      </c>
      <c r="N184" s="23" t="s">
        <v>21</v>
      </c>
      <c r="O184" s="23"/>
      <c r="P184" s="24"/>
      <c r="Q184" s="27"/>
      <c r="R184" s="27"/>
      <c r="S184" s="21"/>
      <c r="T184" s="21"/>
      <c r="U184" s="21"/>
      <c r="V184" s="16" t="str">
        <f>""&amp;TEXT(G184,"0,0")&amp;" шт. х "&amp;TEXT(I184,"0,00")&amp;" руб. = "&amp;TEXT(K184,"0 000,00")&amp;" руб. = "&amp;TEXT(M184,"0 000,00")&amp;" руб."</f>
        <v>64,0 шт. х 151,91 руб. = 9 722,24 руб. = 9 730,00 руб.</v>
      </c>
    </row>
    <row r="185" spans="1:22" s="2" customFormat="1" ht="20.25" x14ac:dyDescent="0.25">
      <c r="A185" s="6"/>
      <c r="B185" s="22"/>
      <c r="C185" s="17"/>
      <c r="D185" s="8"/>
      <c r="E185" s="26"/>
      <c r="F185" s="10" t="str">
        <f>F15</f>
        <v>норматив на 2027 год :</v>
      </c>
      <c r="G185" s="24">
        <v>64</v>
      </c>
      <c r="H185" s="24" t="s">
        <v>56</v>
      </c>
      <c r="I185" s="24">
        <f>ROUNDUP(I184*(1.039),2)</f>
        <v>157.84</v>
      </c>
      <c r="J185" s="24" t="s">
        <v>20</v>
      </c>
      <c r="K185" s="24">
        <f t="shared" si="72"/>
        <v>10101.76</v>
      </c>
      <c r="L185" s="24" t="s">
        <v>20</v>
      </c>
      <c r="M185" s="23">
        <f>ROUNDUP((K185),-1)</f>
        <v>10110</v>
      </c>
      <c r="N185" s="23" t="s">
        <v>21</v>
      </c>
      <c r="O185" s="23"/>
      <c r="P185" s="24"/>
      <c r="Q185" s="27"/>
      <c r="R185" s="27"/>
      <c r="S185" s="21"/>
      <c r="T185" s="21"/>
      <c r="U185" s="21"/>
      <c r="V185" s="16" t="str">
        <f t="shared" ref="V185:V186" si="73">""&amp;TEXT(G185,"0,0")&amp;" шт. х "&amp;TEXT(I185,"0,00")&amp;" руб. = "&amp;TEXT(K185,"0 000,00")&amp;" руб. = "&amp;TEXT(M185,"0 000,00")&amp;" руб."</f>
        <v>64,0 шт. х 157,84 руб. = 10 101,76 руб. = 10 110,00 руб.</v>
      </c>
    </row>
    <row r="186" spans="1:22" s="2" customFormat="1" ht="20.25" x14ac:dyDescent="0.25">
      <c r="A186" s="6"/>
      <c r="B186" s="22"/>
      <c r="C186" s="17"/>
      <c r="D186" s="8"/>
      <c r="E186" s="26"/>
      <c r="F186" s="10" t="str">
        <f>F16</f>
        <v>норматив на 2028 год :</v>
      </c>
      <c r="G186" s="24">
        <v>64</v>
      </c>
      <c r="H186" s="24" t="s">
        <v>56</v>
      </c>
      <c r="I186" s="24">
        <f>ROUNDUP(I185*(1.039),2)</f>
        <v>164</v>
      </c>
      <c r="J186" s="24" t="s">
        <v>20</v>
      </c>
      <c r="K186" s="24">
        <f t="shared" si="72"/>
        <v>10496</v>
      </c>
      <c r="L186" s="24" t="s">
        <v>20</v>
      </c>
      <c r="M186" s="23">
        <f>ROUNDUP((K186),-1)</f>
        <v>10500</v>
      </c>
      <c r="N186" s="23" t="s">
        <v>21</v>
      </c>
      <c r="O186" s="23"/>
      <c r="P186" s="24"/>
      <c r="Q186" s="27"/>
      <c r="R186" s="27"/>
      <c r="S186" s="26"/>
      <c r="T186" s="26"/>
      <c r="U186" s="26"/>
      <c r="V186" s="16" t="str">
        <f t="shared" si="73"/>
        <v>64,0 шт. х 164,00 руб. = 10 496,00 руб. = 10 500,00 руб.</v>
      </c>
    </row>
    <row r="187" spans="1:22" s="2" customFormat="1" ht="28.5" customHeight="1" x14ac:dyDescent="0.25">
      <c r="A187" s="6" t="s">
        <v>167</v>
      </c>
      <c r="B187" s="18" t="s">
        <v>168</v>
      </c>
      <c r="C187" s="17"/>
      <c r="D187" s="19">
        <v>341</v>
      </c>
      <c r="E187" s="19">
        <v>244</v>
      </c>
      <c r="F187" s="20" t="s">
        <v>166</v>
      </c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1">
        <f>M188</f>
        <v>8780</v>
      </c>
      <c r="T187" s="21">
        <f>M189</f>
        <v>9130</v>
      </c>
      <c r="U187" s="21">
        <f>M190</f>
        <v>9480</v>
      </c>
      <c r="V187" s="16"/>
    </row>
    <row r="188" spans="1:22" s="2" customFormat="1" ht="20.25" x14ac:dyDescent="0.25">
      <c r="A188" s="6"/>
      <c r="B188" s="22"/>
      <c r="C188" s="17"/>
      <c r="D188" s="8"/>
      <c r="E188" s="26"/>
      <c r="F188" s="10" t="str">
        <f>F14</f>
        <v>норматив на 2026 год :</v>
      </c>
      <c r="G188" s="24">
        <v>64</v>
      </c>
      <c r="H188" s="24" t="s">
        <v>56</v>
      </c>
      <c r="I188" s="24">
        <v>137.16999999999999</v>
      </c>
      <c r="J188" s="24" t="s">
        <v>20</v>
      </c>
      <c r="K188" s="24">
        <f t="shared" ref="K188:K190" si="74">ROUND((G188*I188),2)</f>
        <v>8778.8799999999992</v>
      </c>
      <c r="L188" s="24" t="s">
        <v>20</v>
      </c>
      <c r="M188" s="23">
        <f>ROUNDUP((K188),-1)</f>
        <v>8780</v>
      </c>
      <c r="N188" s="23" t="s">
        <v>21</v>
      </c>
      <c r="O188" s="23"/>
      <c r="P188" s="24"/>
      <c r="Q188" s="27"/>
      <c r="R188" s="27"/>
      <c r="S188" s="21"/>
      <c r="T188" s="21"/>
      <c r="U188" s="21"/>
      <c r="V188" s="16" t="str">
        <f>""&amp;TEXT(G188,"0,0")&amp;" шт. х "&amp;TEXT(I188,"0,00")&amp;" руб. = "&amp;TEXT(K188,"0 000,00")&amp;" руб. = "&amp;TEXT(M188,"0 000,00")&amp;" руб."</f>
        <v>64,0 шт. х 137,17 руб. = 8 778,88 руб. = 8 780,00 руб.</v>
      </c>
    </row>
    <row r="189" spans="1:22" s="2" customFormat="1" ht="20.25" x14ac:dyDescent="0.25">
      <c r="A189" s="6"/>
      <c r="B189" s="22"/>
      <c r="C189" s="17"/>
      <c r="D189" s="8"/>
      <c r="E189" s="26"/>
      <c r="F189" s="10" t="str">
        <f>F15</f>
        <v>норматив на 2027 год :</v>
      </c>
      <c r="G189" s="24">
        <v>64</v>
      </c>
      <c r="H189" s="24" t="s">
        <v>56</v>
      </c>
      <c r="I189" s="24">
        <f>ROUNDUP(I188*(1.039),2)</f>
        <v>142.51999999999998</v>
      </c>
      <c r="J189" s="24" t="s">
        <v>20</v>
      </c>
      <c r="K189" s="24">
        <f t="shared" si="74"/>
        <v>9121.2800000000007</v>
      </c>
      <c r="L189" s="24" t="s">
        <v>20</v>
      </c>
      <c r="M189" s="23">
        <f>ROUNDUP((K189),-1)</f>
        <v>9130</v>
      </c>
      <c r="N189" s="23" t="s">
        <v>21</v>
      </c>
      <c r="O189" s="23"/>
      <c r="P189" s="24"/>
      <c r="Q189" s="27"/>
      <c r="R189" s="27"/>
      <c r="S189" s="21"/>
      <c r="T189" s="21"/>
      <c r="U189" s="21"/>
      <c r="V189" s="16" t="str">
        <f t="shared" ref="V189:V190" si="75">""&amp;TEXT(G189,"0,0")&amp;" шт. х "&amp;TEXT(I189,"0,00")&amp;" руб. = "&amp;TEXT(K189,"0 000,00")&amp;" руб. = "&amp;TEXT(M189,"0 000,00")&amp;" руб."</f>
        <v>64,0 шт. х 142,52 руб. = 9 121,28 руб. = 9 130,00 руб.</v>
      </c>
    </row>
    <row r="190" spans="1:22" s="2" customFormat="1" ht="20.25" x14ac:dyDescent="0.25">
      <c r="A190" s="6"/>
      <c r="B190" s="22"/>
      <c r="C190" s="17"/>
      <c r="D190" s="8"/>
      <c r="E190" s="26"/>
      <c r="F190" s="10" t="str">
        <f>F16</f>
        <v>норматив на 2028 год :</v>
      </c>
      <c r="G190" s="24">
        <v>64</v>
      </c>
      <c r="H190" s="24" t="s">
        <v>56</v>
      </c>
      <c r="I190" s="24">
        <f>ROUNDUP(I189*(1.039),2)</f>
        <v>148.07999999999998</v>
      </c>
      <c r="J190" s="24" t="s">
        <v>20</v>
      </c>
      <c r="K190" s="24">
        <f t="shared" si="74"/>
        <v>9477.1200000000008</v>
      </c>
      <c r="L190" s="24" t="s">
        <v>20</v>
      </c>
      <c r="M190" s="23">
        <f>ROUNDUP((K190),-1)</f>
        <v>9480</v>
      </c>
      <c r="N190" s="23" t="s">
        <v>21</v>
      </c>
      <c r="O190" s="23"/>
      <c r="P190" s="24"/>
      <c r="Q190" s="27"/>
      <c r="R190" s="27"/>
      <c r="S190" s="26"/>
      <c r="T190" s="26"/>
      <c r="U190" s="26"/>
      <c r="V190" s="16" t="str">
        <f t="shared" si="75"/>
        <v>64,0 шт. х 148,08 руб. = 9 477,12 руб. = 9 480,00 руб.</v>
      </c>
    </row>
    <row r="191" spans="1:22" s="2" customFormat="1" ht="24" customHeight="1" x14ac:dyDescent="0.25">
      <c r="A191" s="6" t="s">
        <v>169</v>
      </c>
      <c r="B191" s="18" t="s">
        <v>170</v>
      </c>
      <c r="C191" s="17"/>
      <c r="D191" s="19">
        <v>345</v>
      </c>
      <c r="E191" s="19">
        <v>244</v>
      </c>
      <c r="F191" s="20" t="s">
        <v>166</v>
      </c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1">
        <f>M192</f>
        <v>126970</v>
      </c>
      <c r="T191" s="21">
        <f>M193</f>
        <v>131920</v>
      </c>
      <c r="U191" s="21">
        <f>M194</f>
        <v>137070</v>
      </c>
      <c r="V191" s="16"/>
    </row>
    <row r="192" spans="1:22" s="2" customFormat="1" ht="20.25" x14ac:dyDescent="0.25">
      <c r="A192" s="6"/>
      <c r="B192" s="22"/>
      <c r="C192" s="17"/>
      <c r="D192" s="8"/>
      <c r="E192" s="26"/>
      <c r="F192" s="10" t="str">
        <f>F14</f>
        <v>норматив на 2026 год :</v>
      </c>
      <c r="G192" s="24">
        <v>224</v>
      </c>
      <c r="H192" s="24" t="s">
        <v>56</v>
      </c>
      <c r="I192" s="24">
        <v>566.80999999999995</v>
      </c>
      <c r="J192" s="24" t="s">
        <v>20</v>
      </c>
      <c r="K192" s="24">
        <f t="shared" ref="K192:K194" si="76">ROUND((G192*I192),2)</f>
        <v>126965.44</v>
      </c>
      <c r="L192" s="24" t="s">
        <v>20</v>
      </c>
      <c r="M192" s="23">
        <f>ROUNDUP((K192),-1)</f>
        <v>126970</v>
      </c>
      <c r="N192" s="23" t="s">
        <v>21</v>
      </c>
      <c r="O192" s="23"/>
      <c r="P192" s="24"/>
      <c r="Q192" s="27"/>
      <c r="R192" s="27"/>
      <c r="S192" s="21"/>
      <c r="T192" s="21"/>
      <c r="U192" s="21"/>
      <c r="V192" s="16" t="str">
        <f>""&amp;TEXT(G192,"0,0")&amp;" шт. х "&amp;TEXT(I192,"0,00")&amp;" руб. = "&amp;TEXT(K192,"0 000,00")&amp;" руб. = "&amp;TEXT(M192,"0 000,00")&amp;" руб."</f>
        <v>224,0 шт. х 566,81 руб. = 126 965,44 руб. = 126 970,00 руб.</v>
      </c>
    </row>
    <row r="193" spans="1:22" s="2" customFormat="1" ht="20.25" x14ac:dyDescent="0.25">
      <c r="A193" s="6"/>
      <c r="B193" s="22"/>
      <c r="C193" s="17"/>
      <c r="D193" s="8"/>
      <c r="E193" s="26"/>
      <c r="F193" s="10" t="str">
        <f>F15</f>
        <v>норматив на 2027 год :</v>
      </c>
      <c r="G193" s="24">
        <f>G192</f>
        <v>224</v>
      </c>
      <c r="H193" s="24" t="s">
        <v>56</v>
      </c>
      <c r="I193" s="24">
        <f>ROUNDUP(I192*(1.039),2)</f>
        <v>588.91999999999996</v>
      </c>
      <c r="J193" s="24" t="s">
        <v>20</v>
      </c>
      <c r="K193" s="24">
        <f t="shared" si="76"/>
        <v>131918.07999999999</v>
      </c>
      <c r="L193" s="24" t="s">
        <v>20</v>
      </c>
      <c r="M193" s="23">
        <f>ROUNDUP((K193),-1)</f>
        <v>131920</v>
      </c>
      <c r="N193" s="23" t="s">
        <v>21</v>
      </c>
      <c r="O193" s="23"/>
      <c r="P193" s="24"/>
      <c r="Q193" s="27"/>
      <c r="R193" s="27"/>
      <c r="S193" s="21"/>
      <c r="T193" s="21"/>
      <c r="U193" s="21"/>
      <c r="V193" s="16" t="str">
        <f t="shared" ref="V193:V194" si="77">""&amp;TEXT(G193,"0,0")&amp;" шт. х "&amp;TEXT(I193,"0,00")&amp;" руб. = "&amp;TEXT(K193,"0 000,00")&amp;" руб. = "&amp;TEXT(M193,"0 000,00")&amp;" руб."</f>
        <v>224,0 шт. х 588,92 руб. = 131 918,08 руб. = 131 920,00 руб.</v>
      </c>
    </row>
    <row r="194" spans="1:22" s="2" customFormat="1" ht="20.25" x14ac:dyDescent="0.25">
      <c r="A194" s="6"/>
      <c r="B194" s="22"/>
      <c r="C194" s="17"/>
      <c r="D194" s="8"/>
      <c r="E194" s="26"/>
      <c r="F194" s="10" t="str">
        <f>F16</f>
        <v>норматив на 2028 год :</v>
      </c>
      <c r="G194" s="24">
        <f>G193</f>
        <v>224</v>
      </c>
      <c r="H194" s="24" t="s">
        <v>56</v>
      </c>
      <c r="I194" s="24">
        <f>ROUNDUP(I193*(1.039),2)</f>
        <v>611.89</v>
      </c>
      <c r="J194" s="24" t="s">
        <v>20</v>
      </c>
      <c r="K194" s="24">
        <f t="shared" si="76"/>
        <v>137063.35999999999</v>
      </c>
      <c r="L194" s="24" t="s">
        <v>20</v>
      </c>
      <c r="M194" s="23">
        <f>ROUNDUP((K194),-1)</f>
        <v>137070</v>
      </c>
      <c r="N194" s="23" t="s">
        <v>21</v>
      </c>
      <c r="O194" s="23"/>
      <c r="P194" s="24"/>
      <c r="Q194" s="27"/>
      <c r="R194" s="27"/>
      <c r="S194" s="26"/>
      <c r="T194" s="26"/>
      <c r="U194" s="26"/>
      <c r="V194" s="16" t="str">
        <f t="shared" si="77"/>
        <v>224,0 шт. х 611,89 руб. = 137 063,36 руб. = 137 070,00 руб.</v>
      </c>
    </row>
    <row r="195" spans="1:22" s="2" customFormat="1" ht="30" customHeight="1" x14ac:dyDescent="0.25">
      <c r="A195" s="6" t="s">
        <v>171</v>
      </c>
      <c r="B195" s="18" t="s">
        <v>172</v>
      </c>
      <c r="C195" s="17"/>
      <c r="D195" s="19">
        <v>346</v>
      </c>
      <c r="E195" s="19">
        <v>244</v>
      </c>
      <c r="F195" s="20" t="s">
        <v>116</v>
      </c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1">
        <f>M196</f>
        <v>783270</v>
      </c>
      <c r="T195" s="21">
        <f>M197</f>
        <v>813920</v>
      </c>
      <c r="U195" s="21">
        <f>M198</f>
        <v>845780</v>
      </c>
      <c r="V195" s="16"/>
    </row>
    <row r="196" spans="1:22" s="2" customFormat="1" ht="20.25" x14ac:dyDescent="0.25">
      <c r="A196" s="6"/>
      <c r="B196" s="22"/>
      <c r="C196" s="17"/>
      <c r="D196" s="8"/>
      <c r="E196" s="26"/>
      <c r="F196" s="10" t="str">
        <f>F14</f>
        <v>норматив на 2026 год :</v>
      </c>
      <c r="G196" s="24">
        <v>13500</v>
      </c>
      <c r="H196" s="24" t="s">
        <v>56</v>
      </c>
      <c r="I196" s="24">
        <f>ROUNDUP(45*(1.0822*1.0487*1.0495*1.0416*1.0391),2)</f>
        <v>58.019999999999996</v>
      </c>
      <c r="J196" s="24" t="s">
        <v>20</v>
      </c>
      <c r="K196" s="24">
        <f>ROUND((G196*I196),2)</f>
        <v>783270</v>
      </c>
      <c r="L196" s="24" t="s">
        <v>20</v>
      </c>
      <c r="M196" s="23">
        <f>ROUNDUP((K196),-1)</f>
        <v>783270</v>
      </c>
      <c r="N196" s="23" t="s">
        <v>21</v>
      </c>
      <c r="O196" s="23"/>
      <c r="P196" s="24"/>
      <c r="Q196" s="27"/>
      <c r="R196" s="27"/>
      <c r="S196" s="21"/>
      <c r="T196" s="21"/>
      <c r="U196" s="21"/>
      <c r="V196" s="16" t="str">
        <f>""&amp;TEXT(G196,"0 000,0")&amp;" шт. х "&amp;TEXT(I196,"0,00")&amp;" руб. = "&amp;TEXT(K196,"0 000,00")&amp;" руб. = "&amp;TEXT(M196,"0 000,00")&amp;" руб."</f>
        <v>13 500,0 шт. х 58,02 руб. = 783 270,00 руб. = 783 270,00 руб.</v>
      </c>
    </row>
    <row r="197" spans="1:22" s="2" customFormat="1" ht="20.25" x14ac:dyDescent="0.25">
      <c r="A197" s="6"/>
      <c r="B197" s="22"/>
      <c r="C197" s="17"/>
      <c r="D197" s="8"/>
      <c r="E197" s="26"/>
      <c r="F197" s="10" t="str">
        <f>F15</f>
        <v>норматив на 2027 год :</v>
      </c>
      <c r="G197" s="24">
        <f>G196</f>
        <v>13500</v>
      </c>
      <c r="H197" s="24" t="s">
        <v>56</v>
      </c>
      <c r="I197" s="24">
        <f>ROUNDUP(I196*(1.039),2)</f>
        <v>60.29</v>
      </c>
      <c r="J197" s="24" t="s">
        <v>20</v>
      </c>
      <c r="K197" s="24">
        <f t="shared" ref="K197:K198" si="78">ROUND((G197*I197),2)</f>
        <v>813915</v>
      </c>
      <c r="L197" s="24" t="s">
        <v>20</v>
      </c>
      <c r="M197" s="23">
        <f>ROUNDUP((K197),-1)</f>
        <v>813920</v>
      </c>
      <c r="N197" s="23" t="s">
        <v>21</v>
      </c>
      <c r="O197" s="23"/>
      <c r="P197" s="24"/>
      <c r="Q197" s="27"/>
      <c r="R197" s="27"/>
      <c r="S197" s="21"/>
      <c r="T197" s="21"/>
      <c r="U197" s="21"/>
      <c r="V197" s="16" t="str">
        <f t="shared" ref="V197:V198" si="79">""&amp;TEXT(G197,"0 000,0")&amp;" шт. х "&amp;TEXT(I197,"0,00")&amp;" руб. = "&amp;TEXT(K197,"0 000,00")&amp;" руб. = "&amp;TEXT(M197,"0 000,00")&amp;" руб."</f>
        <v>13 500,0 шт. х 60,29 руб. = 813 915,00 руб. = 813 920,00 руб.</v>
      </c>
    </row>
    <row r="198" spans="1:22" s="2" customFormat="1" ht="20.25" x14ac:dyDescent="0.25">
      <c r="A198" s="6"/>
      <c r="B198" s="22"/>
      <c r="C198" s="17"/>
      <c r="D198" s="8"/>
      <c r="E198" s="26"/>
      <c r="F198" s="10" t="str">
        <f>F16</f>
        <v>норматив на 2028 год :</v>
      </c>
      <c r="G198" s="24">
        <f>G197</f>
        <v>13500</v>
      </c>
      <c r="H198" s="24" t="s">
        <v>56</v>
      </c>
      <c r="I198" s="24">
        <f>ROUNDUP(I197*(1.039),2)</f>
        <v>62.65</v>
      </c>
      <c r="J198" s="24" t="s">
        <v>20</v>
      </c>
      <c r="K198" s="24">
        <f t="shared" si="78"/>
        <v>845775</v>
      </c>
      <c r="L198" s="24" t="s">
        <v>20</v>
      </c>
      <c r="M198" s="23">
        <f>ROUNDUP((K198),-1)</f>
        <v>845780</v>
      </c>
      <c r="N198" s="23" t="s">
        <v>21</v>
      </c>
      <c r="O198" s="23"/>
      <c r="P198" s="24"/>
      <c r="Q198" s="23"/>
      <c r="R198" s="23"/>
      <c r="S198" s="26"/>
      <c r="T198" s="26"/>
      <c r="U198" s="26"/>
      <c r="V198" s="16" t="str">
        <f t="shared" si="79"/>
        <v>13 500,0 шт. х 62,65 руб. = 845 775,00 руб. = 845 780,00 руб.</v>
      </c>
    </row>
    <row r="199" spans="1:22" s="2" customFormat="1" ht="28.5" customHeight="1" x14ac:dyDescent="0.25">
      <c r="A199" s="6" t="s">
        <v>173</v>
      </c>
      <c r="B199" s="18" t="s">
        <v>174</v>
      </c>
      <c r="C199" s="17"/>
      <c r="D199" s="19">
        <v>345</v>
      </c>
      <c r="E199" s="19">
        <v>244</v>
      </c>
      <c r="F199" s="20" t="s">
        <v>166</v>
      </c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1">
        <f>M200</f>
        <v>1256540</v>
      </c>
      <c r="T199" s="21">
        <f>M201</f>
        <v>1305540</v>
      </c>
      <c r="U199" s="21">
        <f>M202</f>
        <v>1356460</v>
      </c>
      <c r="V199" s="16"/>
    </row>
    <row r="200" spans="1:22" s="2" customFormat="1" ht="33.75" customHeight="1" x14ac:dyDescent="0.25">
      <c r="A200" s="6"/>
      <c r="B200" s="22"/>
      <c r="C200" s="17"/>
      <c r="D200" s="8"/>
      <c r="E200" s="26"/>
      <c r="F200" s="10" t="str">
        <f>F14</f>
        <v>норматив на 2026 год :</v>
      </c>
      <c r="G200" s="24">
        <v>224</v>
      </c>
      <c r="H200" s="24" t="s">
        <v>56</v>
      </c>
      <c r="I200" s="24">
        <v>5609.51</v>
      </c>
      <c r="J200" s="24" t="s">
        <v>20</v>
      </c>
      <c r="K200" s="24">
        <f t="shared" ref="K200:K202" si="80">ROUND((G200*I200),2)</f>
        <v>1256530.24</v>
      </c>
      <c r="L200" s="24" t="s">
        <v>20</v>
      </c>
      <c r="M200" s="23">
        <f>ROUNDUP((K200),-1)</f>
        <v>1256540</v>
      </c>
      <c r="N200" s="23" t="s">
        <v>21</v>
      </c>
      <c r="O200" s="23"/>
      <c r="P200" s="24"/>
      <c r="Q200" s="27"/>
      <c r="R200" s="27"/>
      <c r="S200" s="21"/>
      <c r="T200" s="21"/>
      <c r="U200" s="21"/>
      <c r="V200" s="16" t="str">
        <f>""&amp;TEXT(G200,"0,0")&amp;" шт. х "&amp;TEXT(I200,"0,00")&amp;" руб. = "&amp;TEXT(K200,"0 000,00")&amp;" руб. = "&amp;TEXT(M200,"0 000,00")&amp;" руб."</f>
        <v>224,0 шт. х 5609,51 руб. = 1 256 530,24 руб. = 1 256 540,00 руб.</v>
      </c>
    </row>
    <row r="201" spans="1:22" s="2" customFormat="1" ht="20.25" x14ac:dyDescent="0.25">
      <c r="A201" s="6"/>
      <c r="B201" s="22"/>
      <c r="C201" s="17"/>
      <c r="D201" s="8"/>
      <c r="E201" s="26"/>
      <c r="F201" s="10" t="str">
        <f>F15</f>
        <v>норматив на 2027 год :</v>
      </c>
      <c r="G201" s="24">
        <v>224</v>
      </c>
      <c r="H201" s="24" t="s">
        <v>56</v>
      </c>
      <c r="I201" s="24">
        <f>ROUNDUP(I200*(1.039),2)</f>
        <v>5828.29</v>
      </c>
      <c r="J201" s="24" t="s">
        <v>20</v>
      </c>
      <c r="K201" s="24">
        <f t="shared" si="80"/>
        <v>1305536.96</v>
      </c>
      <c r="L201" s="24" t="s">
        <v>20</v>
      </c>
      <c r="M201" s="23">
        <f>ROUNDUP((K201),-1)</f>
        <v>1305540</v>
      </c>
      <c r="N201" s="23" t="s">
        <v>21</v>
      </c>
      <c r="O201" s="23"/>
      <c r="P201" s="24"/>
      <c r="Q201" s="27"/>
      <c r="R201" s="27"/>
      <c r="S201" s="21"/>
      <c r="T201" s="21"/>
      <c r="U201" s="21"/>
      <c r="V201" s="16" t="str">
        <f t="shared" ref="V201:V202" si="81">""&amp;TEXT(G201,"0,0")&amp;" шт. х "&amp;TEXT(I201,"0,00")&amp;" руб. = "&amp;TEXT(K201,"0 000,00")&amp;" руб. = "&amp;TEXT(M201,"0 000,00")&amp;" руб."</f>
        <v>224,0 шт. х 5828,29 руб. = 1 305 536,96 руб. = 1 305 540,00 руб.</v>
      </c>
    </row>
    <row r="202" spans="1:22" s="2" customFormat="1" ht="20.25" x14ac:dyDescent="0.25">
      <c r="A202" s="6"/>
      <c r="B202" s="22"/>
      <c r="C202" s="17"/>
      <c r="D202" s="8"/>
      <c r="E202" s="26"/>
      <c r="F202" s="10" t="str">
        <f>F16</f>
        <v>норматив на 2028 год :</v>
      </c>
      <c r="G202" s="24">
        <v>224</v>
      </c>
      <c r="H202" s="24" t="s">
        <v>56</v>
      </c>
      <c r="I202" s="24">
        <f>ROUNDUP(I201*(1.039),2)</f>
        <v>6055.6</v>
      </c>
      <c r="J202" s="24" t="s">
        <v>20</v>
      </c>
      <c r="K202" s="24">
        <f t="shared" si="80"/>
        <v>1356454.4</v>
      </c>
      <c r="L202" s="24" t="s">
        <v>20</v>
      </c>
      <c r="M202" s="23">
        <f>ROUNDUP((K202),-1)</f>
        <v>1356460</v>
      </c>
      <c r="N202" s="23" t="s">
        <v>21</v>
      </c>
      <c r="O202" s="23"/>
      <c r="P202" s="24"/>
      <c r="Q202" s="27"/>
      <c r="R202" s="27"/>
      <c r="S202" s="26"/>
      <c r="T202" s="26"/>
      <c r="U202" s="26"/>
      <c r="V202" s="16" t="str">
        <f t="shared" si="81"/>
        <v>224,0 шт. х 6055,60 руб. = 1 356 454,40 руб. = 1 356 460,00 руб.</v>
      </c>
    </row>
    <row r="203" spans="1:22" s="2" customFormat="1" ht="27.75" customHeight="1" x14ac:dyDescent="0.25">
      <c r="A203" s="6" t="s">
        <v>175</v>
      </c>
      <c r="B203" s="18" t="s">
        <v>176</v>
      </c>
      <c r="C203" s="17"/>
      <c r="D203" s="19">
        <v>310</v>
      </c>
      <c r="E203" s="19">
        <v>244</v>
      </c>
      <c r="F203" s="20" t="s">
        <v>166</v>
      </c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1">
        <f>M204</f>
        <v>366400</v>
      </c>
      <c r="T203" s="21">
        <f>M205</f>
        <v>380690</v>
      </c>
      <c r="U203" s="21">
        <f>M206</f>
        <v>395540</v>
      </c>
      <c r="V203" s="16"/>
    </row>
    <row r="204" spans="1:22" s="2" customFormat="1" ht="20.25" x14ac:dyDescent="0.25">
      <c r="A204" s="6"/>
      <c r="B204" s="22"/>
      <c r="C204" s="17"/>
      <c r="D204" s="8"/>
      <c r="E204" s="26"/>
      <c r="F204" s="10" t="str">
        <f>F200</f>
        <v>норматив на 2026 год :</v>
      </c>
      <c r="G204" s="24">
        <v>2</v>
      </c>
      <c r="H204" s="24" t="s">
        <v>56</v>
      </c>
      <c r="I204" s="24">
        <v>183200</v>
      </c>
      <c r="J204" s="24" t="s">
        <v>20</v>
      </c>
      <c r="K204" s="24">
        <f t="shared" ref="K204:K206" si="82">ROUND((G204*I204),2)</f>
        <v>366400</v>
      </c>
      <c r="L204" s="24" t="s">
        <v>20</v>
      </c>
      <c r="M204" s="23">
        <f>ROUNDUP((K204),-1)</f>
        <v>366400</v>
      </c>
      <c r="N204" s="23" t="s">
        <v>21</v>
      </c>
      <c r="O204" s="23"/>
      <c r="P204" s="24"/>
      <c r="Q204" s="27"/>
      <c r="R204" s="27"/>
      <c r="S204" s="21"/>
      <c r="T204" s="21"/>
      <c r="U204" s="21"/>
      <c r="V204" s="16" t="str">
        <f>""&amp;TEXT(G204,"0,0")&amp;" шт. х "&amp;TEXT(I204,"0,00")&amp;" руб. = "&amp;TEXT(K204,"0 000,00")&amp;" руб. = "&amp;TEXT(M204,"0 000,00")&amp;" руб."</f>
        <v>2,0 шт. х 183200,00 руб. = 366 400,00 руб. = 366 400,00 руб.</v>
      </c>
    </row>
    <row r="205" spans="1:22" s="2" customFormat="1" ht="20.25" x14ac:dyDescent="0.25">
      <c r="A205" s="6"/>
      <c r="B205" s="22"/>
      <c r="C205" s="17"/>
      <c r="D205" s="8"/>
      <c r="E205" s="26"/>
      <c r="F205" s="10" t="str">
        <f t="shared" ref="F205:F206" si="83">F201</f>
        <v>норматив на 2027 год :</v>
      </c>
      <c r="G205" s="24">
        <f>G204</f>
        <v>2</v>
      </c>
      <c r="H205" s="24" t="s">
        <v>56</v>
      </c>
      <c r="I205" s="24">
        <f>ROUNDUP(I204*(1.039),2)</f>
        <v>190344.8</v>
      </c>
      <c r="J205" s="24" t="s">
        <v>20</v>
      </c>
      <c r="K205" s="24">
        <f t="shared" si="82"/>
        <v>380689.6</v>
      </c>
      <c r="L205" s="24" t="s">
        <v>20</v>
      </c>
      <c r="M205" s="23">
        <f>ROUNDUP((K205),-1)</f>
        <v>380690</v>
      </c>
      <c r="N205" s="23" t="s">
        <v>21</v>
      </c>
      <c r="O205" s="23"/>
      <c r="P205" s="24"/>
      <c r="Q205" s="27"/>
      <c r="R205" s="27"/>
      <c r="S205" s="21"/>
      <c r="T205" s="21"/>
      <c r="U205" s="21"/>
      <c r="V205" s="16" t="str">
        <f t="shared" ref="V205:V206" si="84">""&amp;TEXT(G205,"0,0")&amp;" шт. х "&amp;TEXT(I205,"0,00")&amp;" руб. = "&amp;TEXT(K205,"0 000,00")&amp;" руб. = "&amp;TEXT(M205,"0 000,00")&amp;" руб."</f>
        <v>2,0 шт. х 190344,80 руб. = 380 689,60 руб. = 380 690,00 руб.</v>
      </c>
    </row>
    <row r="206" spans="1:22" s="2" customFormat="1" ht="20.25" x14ac:dyDescent="0.25">
      <c r="A206" s="6"/>
      <c r="B206" s="22"/>
      <c r="C206" s="17"/>
      <c r="D206" s="8"/>
      <c r="E206" s="26"/>
      <c r="F206" s="10" t="str">
        <f t="shared" si="83"/>
        <v>норматив на 2028 год :</v>
      </c>
      <c r="G206" s="24">
        <f>G205</f>
        <v>2</v>
      </c>
      <c r="H206" s="24" t="s">
        <v>56</v>
      </c>
      <c r="I206" s="24">
        <f>ROUNDUP(I205*(1.039),2)</f>
        <v>197768.25</v>
      </c>
      <c r="J206" s="24" t="s">
        <v>20</v>
      </c>
      <c r="K206" s="24">
        <f t="shared" si="82"/>
        <v>395536.5</v>
      </c>
      <c r="L206" s="24" t="s">
        <v>20</v>
      </c>
      <c r="M206" s="23">
        <f>ROUNDUP((K206),-1)</f>
        <v>395540</v>
      </c>
      <c r="N206" s="23" t="s">
        <v>21</v>
      </c>
      <c r="O206" s="23"/>
      <c r="P206" s="24"/>
      <c r="Q206" s="27"/>
      <c r="R206" s="27"/>
      <c r="S206" s="26"/>
      <c r="T206" s="26"/>
      <c r="U206" s="26"/>
      <c r="V206" s="16" t="str">
        <f t="shared" si="84"/>
        <v>2,0 шт. х 197768,25 руб. = 395 536,50 руб. = 395 540,00 руб.</v>
      </c>
    </row>
    <row r="207" spans="1:22" s="2" customFormat="1" ht="35.25" customHeight="1" x14ac:dyDescent="0.25">
      <c r="A207" s="6" t="s">
        <v>177</v>
      </c>
      <c r="B207" s="18" t="s">
        <v>178</v>
      </c>
      <c r="C207" s="17"/>
      <c r="D207" s="19">
        <v>310</v>
      </c>
      <c r="E207" s="19">
        <v>244</v>
      </c>
      <c r="F207" s="20" t="s">
        <v>166</v>
      </c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1">
        <f>M208</f>
        <v>1572000</v>
      </c>
      <c r="T207" s="21">
        <f>M209</f>
        <v>1633310</v>
      </c>
      <c r="U207" s="21">
        <f>M210</f>
        <v>1697010</v>
      </c>
      <c r="V207" s="16"/>
    </row>
    <row r="208" spans="1:22" s="2" customFormat="1" ht="20.25" x14ac:dyDescent="0.25">
      <c r="A208" s="6"/>
      <c r="B208" s="22"/>
      <c r="C208" s="17"/>
      <c r="D208" s="8"/>
      <c r="E208" s="26"/>
      <c r="F208" s="10" t="str">
        <f>F204</f>
        <v>норматив на 2026 год :</v>
      </c>
      <c r="G208" s="24">
        <v>4</v>
      </c>
      <c r="H208" s="24" t="s">
        <v>56</v>
      </c>
      <c r="I208" s="24">
        <v>393000</v>
      </c>
      <c r="J208" s="24" t="s">
        <v>20</v>
      </c>
      <c r="K208" s="24">
        <f t="shared" ref="K208:K210" si="85">ROUND((G208*I208),2)</f>
        <v>1572000</v>
      </c>
      <c r="L208" s="24" t="s">
        <v>20</v>
      </c>
      <c r="M208" s="23">
        <f>ROUNDUP((K208),-1)</f>
        <v>1572000</v>
      </c>
      <c r="N208" s="23" t="s">
        <v>21</v>
      </c>
      <c r="O208" s="23"/>
      <c r="P208" s="24"/>
      <c r="Q208" s="27"/>
      <c r="R208" s="27"/>
      <c r="S208" s="21"/>
      <c r="T208" s="21"/>
      <c r="U208" s="21"/>
      <c r="V208" s="16" t="str">
        <f>""&amp;TEXT(G208,"0,0")&amp;" шт. х "&amp;TEXT(I208,"0,00")&amp;" руб. = "&amp;TEXT(K208,"0 000,00")&amp;" руб. = "&amp;TEXT(M208,"0 000,00")&amp;" руб."</f>
        <v>4,0 шт. х 393000,00 руб. = 1 572 000,00 руб. = 1 572 000,00 руб.</v>
      </c>
    </row>
    <row r="209" spans="1:22" s="2" customFormat="1" ht="20.25" x14ac:dyDescent="0.25">
      <c r="A209" s="6"/>
      <c r="B209" s="22"/>
      <c r="C209" s="17"/>
      <c r="D209" s="8"/>
      <c r="E209" s="26"/>
      <c r="F209" s="10" t="str">
        <f t="shared" ref="F209:F210" si="86">F205</f>
        <v>норматив на 2027 год :</v>
      </c>
      <c r="G209" s="24">
        <f>G208</f>
        <v>4</v>
      </c>
      <c r="H209" s="24" t="s">
        <v>56</v>
      </c>
      <c r="I209" s="24">
        <f>ROUNDUP(I208*(1.039),2)</f>
        <v>408327</v>
      </c>
      <c r="J209" s="24" t="s">
        <v>20</v>
      </c>
      <c r="K209" s="24">
        <f t="shared" si="85"/>
        <v>1633308</v>
      </c>
      <c r="L209" s="24" t="s">
        <v>20</v>
      </c>
      <c r="M209" s="23">
        <f>ROUNDUP((K209),-1)</f>
        <v>1633310</v>
      </c>
      <c r="N209" s="23" t="s">
        <v>21</v>
      </c>
      <c r="O209" s="23"/>
      <c r="P209" s="24"/>
      <c r="Q209" s="27"/>
      <c r="R209" s="27"/>
      <c r="S209" s="21"/>
      <c r="T209" s="21"/>
      <c r="U209" s="21"/>
      <c r="V209" s="16" t="str">
        <f t="shared" ref="V209:V210" si="87">""&amp;TEXT(G209,"0,0")&amp;" шт. х "&amp;TEXT(I209,"0,00")&amp;" руб. = "&amp;TEXT(K209,"0 000,00")&amp;" руб. = "&amp;TEXT(M209,"0 000,00")&amp;" руб."</f>
        <v>4,0 шт. х 408327,00 руб. = 1 633 308,00 руб. = 1 633 310,00 руб.</v>
      </c>
    </row>
    <row r="210" spans="1:22" s="2" customFormat="1" ht="20.25" x14ac:dyDescent="0.25">
      <c r="A210" s="6"/>
      <c r="B210" s="22"/>
      <c r="C210" s="17"/>
      <c r="D210" s="8"/>
      <c r="E210" s="26"/>
      <c r="F210" s="10" t="str">
        <f t="shared" si="86"/>
        <v>норматив на 2028 год :</v>
      </c>
      <c r="G210" s="24">
        <f>G209</f>
        <v>4</v>
      </c>
      <c r="H210" s="24" t="s">
        <v>56</v>
      </c>
      <c r="I210" s="24">
        <f>ROUNDUP(I209*(1.039),2)</f>
        <v>424251.76</v>
      </c>
      <c r="J210" s="24" t="s">
        <v>20</v>
      </c>
      <c r="K210" s="24">
        <f t="shared" si="85"/>
        <v>1697007.04</v>
      </c>
      <c r="L210" s="24" t="s">
        <v>20</v>
      </c>
      <c r="M210" s="23">
        <f>ROUNDUP((K210),-1)</f>
        <v>1697010</v>
      </c>
      <c r="N210" s="23" t="s">
        <v>21</v>
      </c>
      <c r="O210" s="23"/>
      <c r="P210" s="24"/>
      <c r="Q210" s="27"/>
      <c r="R210" s="27"/>
      <c r="S210" s="26"/>
      <c r="T210" s="26"/>
      <c r="U210" s="26"/>
      <c r="V210" s="16" t="str">
        <f t="shared" si="87"/>
        <v>4,0 шт. х 424251,76 руб. = 1 697 007,04 руб. = 1 697 010,00 руб.</v>
      </c>
    </row>
    <row r="211" spans="1:22" s="2" customFormat="1" ht="40.5" customHeight="1" x14ac:dyDescent="0.25">
      <c r="A211" s="6" t="s">
        <v>179</v>
      </c>
      <c r="B211" s="18" t="s">
        <v>180</v>
      </c>
      <c r="C211" s="17"/>
      <c r="D211" s="19">
        <v>341</v>
      </c>
      <c r="E211" s="19">
        <v>244</v>
      </c>
      <c r="F211" s="20" t="s">
        <v>166</v>
      </c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1">
        <f>M212</f>
        <v>2610</v>
      </c>
      <c r="T211" s="21">
        <f>M213</f>
        <v>2710</v>
      </c>
      <c r="U211" s="21">
        <f>M214</f>
        <v>2820</v>
      </c>
      <c r="V211" s="16"/>
    </row>
    <row r="212" spans="1:22" s="2" customFormat="1" ht="20.25" x14ac:dyDescent="0.25">
      <c r="A212" s="6"/>
      <c r="B212" s="22"/>
      <c r="C212" s="17"/>
      <c r="D212" s="8"/>
      <c r="E212" s="26"/>
      <c r="F212" s="10" t="str">
        <f>F208</f>
        <v>норматив на 2026 год :</v>
      </c>
      <c r="G212" s="24">
        <v>6</v>
      </c>
      <c r="H212" s="24" t="s">
        <v>56</v>
      </c>
      <c r="I212" s="24">
        <v>434</v>
      </c>
      <c r="J212" s="24" t="s">
        <v>20</v>
      </c>
      <c r="K212" s="24">
        <f t="shared" ref="K212:K214" si="88">ROUND((G212*I212),2)</f>
        <v>2604</v>
      </c>
      <c r="L212" s="24" t="s">
        <v>20</v>
      </c>
      <c r="M212" s="23">
        <f>ROUNDUP((K212),-1)</f>
        <v>2610</v>
      </c>
      <c r="N212" s="23" t="s">
        <v>21</v>
      </c>
      <c r="O212" s="23"/>
      <c r="P212" s="24"/>
      <c r="Q212" s="27"/>
      <c r="R212" s="27"/>
      <c r="S212" s="21"/>
      <c r="T212" s="21"/>
      <c r="U212" s="21"/>
      <c r="V212" s="16" t="str">
        <f>""&amp;TEXT(G212,"0,0")&amp;" шт. х "&amp;TEXT(I212,"0,00")&amp;" руб. = "&amp;TEXT(K212,"0 000,00")&amp;" руб. = "&amp;TEXT(M212,"0 000,00")&amp;" руб."</f>
        <v>6,0 шт. х 434,00 руб. = 2 604,00 руб. = 2 610,00 руб.</v>
      </c>
    </row>
    <row r="213" spans="1:22" s="2" customFormat="1" ht="20.25" x14ac:dyDescent="0.25">
      <c r="A213" s="6"/>
      <c r="B213" s="22"/>
      <c r="C213" s="17"/>
      <c r="D213" s="8"/>
      <c r="E213" s="26"/>
      <c r="F213" s="10" t="str">
        <f t="shared" ref="F213:F214" si="89">F209</f>
        <v>норматив на 2027 год :</v>
      </c>
      <c r="G213" s="24">
        <f>G212</f>
        <v>6</v>
      </c>
      <c r="H213" s="24" t="s">
        <v>56</v>
      </c>
      <c r="I213" s="24">
        <f>ROUNDUP(I212*(1.039),2)</f>
        <v>450.93</v>
      </c>
      <c r="J213" s="24" t="s">
        <v>20</v>
      </c>
      <c r="K213" s="24">
        <f t="shared" si="88"/>
        <v>2705.58</v>
      </c>
      <c r="L213" s="24" t="s">
        <v>20</v>
      </c>
      <c r="M213" s="23">
        <f>ROUNDUP((K213),-1)</f>
        <v>2710</v>
      </c>
      <c r="N213" s="23" t="s">
        <v>21</v>
      </c>
      <c r="O213" s="23"/>
      <c r="P213" s="24"/>
      <c r="Q213" s="27"/>
      <c r="R213" s="27"/>
      <c r="S213" s="21"/>
      <c r="T213" s="21"/>
      <c r="U213" s="21"/>
      <c r="V213" s="16" t="str">
        <f t="shared" ref="V213:V214" si="90">""&amp;TEXT(G213,"0,0")&amp;" шт. х "&amp;TEXT(I213,"0,00")&amp;" руб. = "&amp;TEXT(K213,"0 000,00")&amp;" руб. = "&amp;TEXT(M213,"0 000,00")&amp;" руб."</f>
        <v>6,0 шт. х 450,93 руб. = 2 705,58 руб. = 2 710,00 руб.</v>
      </c>
    </row>
    <row r="214" spans="1:22" s="2" customFormat="1" ht="20.25" x14ac:dyDescent="0.25">
      <c r="A214" s="6"/>
      <c r="B214" s="22"/>
      <c r="C214" s="17"/>
      <c r="D214" s="8"/>
      <c r="E214" s="26"/>
      <c r="F214" s="10" t="str">
        <f t="shared" si="89"/>
        <v>норматив на 2028 год :</v>
      </c>
      <c r="G214" s="24">
        <f>G213</f>
        <v>6</v>
      </c>
      <c r="H214" s="24" t="s">
        <v>56</v>
      </c>
      <c r="I214" s="24">
        <f>ROUNDUP(I213*(1.039),2)</f>
        <v>468.52</v>
      </c>
      <c r="J214" s="24" t="s">
        <v>20</v>
      </c>
      <c r="K214" s="24">
        <f t="shared" si="88"/>
        <v>2811.12</v>
      </c>
      <c r="L214" s="24" t="s">
        <v>20</v>
      </c>
      <c r="M214" s="23">
        <f>ROUNDUP((K214),-1)</f>
        <v>2820</v>
      </c>
      <c r="N214" s="23" t="s">
        <v>21</v>
      </c>
      <c r="O214" s="23"/>
      <c r="P214" s="24"/>
      <c r="Q214" s="27"/>
      <c r="R214" s="27"/>
      <c r="S214" s="26"/>
      <c r="T214" s="26"/>
      <c r="U214" s="26"/>
      <c r="V214" s="16" t="str">
        <f t="shared" si="90"/>
        <v>6,0 шт. х 468,52 руб. = 2 811,12 руб. = 2 820,00 руб.</v>
      </c>
    </row>
    <row r="215" spans="1:22" s="2" customFormat="1" ht="31.5" customHeight="1" x14ac:dyDescent="0.25">
      <c r="A215" s="6" t="s">
        <v>181</v>
      </c>
      <c r="B215" s="18" t="s">
        <v>182</v>
      </c>
      <c r="C215" s="17"/>
      <c r="D215" s="19">
        <v>341</v>
      </c>
      <c r="E215" s="19">
        <v>244</v>
      </c>
      <c r="F215" s="20" t="s">
        <v>166</v>
      </c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1">
        <f>M216</f>
        <v>18930</v>
      </c>
      <c r="T215" s="21">
        <f>M217</f>
        <v>19660</v>
      </c>
      <c r="U215" s="21">
        <f>M218</f>
        <v>20430</v>
      </c>
      <c r="V215" s="16"/>
    </row>
    <row r="216" spans="1:22" s="2" customFormat="1" ht="20.25" x14ac:dyDescent="0.25">
      <c r="A216" s="6"/>
      <c r="B216" s="22"/>
      <c r="C216" s="17"/>
      <c r="D216" s="8"/>
      <c r="E216" s="26"/>
      <c r="F216" s="10" t="str">
        <f>F212</f>
        <v>норматив на 2026 год :</v>
      </c>
      <c r="G216" s="24">
        <v>1</v>
      </c>
      <c r="H216" s="24" t="s">
        <v>56</v>
      </c>
      <c r="I216" s="24">
        <v>18921.45</v>
      </c>
      <c r="J216" s="24" t="s">
        <v>20</v>
      </c>
      <c r="K216" s="24">
        <f t="shared" ref="K216:K218" si="91">ROUND((G216*I216),2)</f>
        <v>18921.45</v>
      </c>
      <c r="L216" s="24" t="s">
        <v>20</v>
      </c>
      <c r="M216" s="23">
        <f>ROUNDUP((K216),-1)</f>
        <v>18930</v>
      </c>
      <c r="N216" s="23" t="s">
        <v>21</v>
      </c>
      <c r="O216" s="23"/>
      <c r="P216" s="24"/>
      <c r="Q216" s="27"/>
      <c r="R216" s="27"/>
      <c r="S216" s="21"/>
      <c r="T216" s="21"/>
      <c r="U216" s="21"/>
      <c r="V216" s="16" t="str">
        <f>""&amp;TEXT(G216,"0,0")&amp;" шт. х "&amp;TEXT(I216,"0,00")&amp;" руб. = "&amp;TEXT(K216,"0 000,00")&amp;" руб. = "&amp;TEXT(M216,"0 000,00")&amp;" руб."</f>
        <v>1,0 шт. х 18921,45 руб. = 18 921,45 руб. = 18 930,00 руб.</v>
      </c>
    </row>
    <row r="217" spans="1:22" s="2" customFormat="1" ht="20.25" x14ac:dyDescent="0.25">
      <c r="A217" s="6"/>
      <c r="B217" s="22"/>
      <c r="C217" s="17"/>
      <c r="D217" s="8"/>
      <c r="E217" s="26"/>
      <c r="F217" s="10" t="str">
        <f t="shared" ref="F217:F218" si="92">F213</f>
        <v>норматив на 2027 год :</v>
      </c>
      <c r="G217" s="24">
        <f>G216</f>
        <v>1</v>
      </c>
      <c r="H217" s="24" t="s">
        <v>56</v>
      </c>
      <c r="I217" s="24">
        <f>ROUNDUP(I216*(1.039),2)</f>
        <v>19659.39</v>
      </c>
      <c r="J217" s="24" t="s">
        <v>20</v>
      </c>
      <c r="K217" s="24">
        <f t="shared" si="91"/>
        <v>19659.39</v>
      </c>
      <c r="L217" s="24" t="s">
        <v>20</v>
      </c>
      <c r="M217" s="23">
        <f>ROUNDUP((K217),-1)</f>
        <v>19660</v>
      </c>
      <c r="N217" s="23" t="s">
        <v>21</v>
      </c>
      <c r="O217" s="23"/>
      <c r="P217" s="24"/>
      <c r="Q217" s="27"/>
      <c r="R217" s="27"/>
      <c r="S217" s="21"/>
      <c r="T217" s="21"/>
      <c r="U217" s="21"/>
      <c r="V217" s="16" t="str">
        <f t="shared" ref="V217:V218" si="93">""&amp;TEXT(G217,"0,0")&amp;" шт. х "&amp;TEXT(I217,"0,00")&amp;" руб. = "&amp;TEXT(K217,"0 000,00")&amp;" руб. = "&amp;TEXT(M217,"0 000,00")&amp;" руб."</f>
        <v>1,0 шт. х 19659,39 руб. = 19 659,39 руб. = 19 660,00 руб.</v>
      </c>
    </row>
    <row r="218" spans="1:22" s="2" customFormat="1" ht="20.25" x14ac:dyDescent="0.25">
      <c r="A218" s="6"/>
      <c r="B218" s="22"/>
      <c r="C218" s="17"/>
      <c r="D218" s="8"/>
      <c r="E218" s="26"/>
      <c r="F218" s="10" t="str">
        <f t="shared" si="92"/>
        <v>норматив на 2028 год :</v>
      </c>
      <c r="G218" s="24">
        <f>G217</f>
        <v>1</v>
      </c>
      <c r="H218" s="24" t="s">
        <v>56</v>
      </c>
      <c r="I218" s="24">
        <f>ROUNDUP(I217*(1.039),2)</f>
        <v>20426.109999999997</v>
      </c>
      <c r="J218" s="24" t="s">
        <v>20</v>
      </c>
      <c r="K218" s="24">
        <f t="shared" si="91"/>
        <v>20426.11</v>
      </c>
      <c r="L218" s="24" t="s">
        <v>20</v>
      </c>
      <c r="M218" s="23">
        <f>ROUNDUP((K218),-1)</f>
        <v>20430</v>
      </c>
      <c r="N218" s="23" t="s">
        <v>21</v>
      </c>
      <c r="O218" s="23"/>
      <c r="P218" s="24"/>
      <c r="Q218" s="27"/>
      <c r="R218" s="27"/>
      <c r="S218" s="26"/>
      <c r="T218" s="26"/>
      <c r="U218" s="26"/>
      <c r="V218" s="16" t="str">
        <f t="shared" si="93"/>
        <v>1,0 шт. х 20426,11 руб. = 20 426,11 руб. = 20 430,00 руб.</v>
      </c>
    </row>
    <row r="219" spans="1:22" s="2" customFormat="1" ht="31.5" customHeight="1" x14ac:dyDescent="0.25">
      <c r="A219" s="6" t="s">
        <v>183</v>
      </c>
      <c r="B219" s="18" t="s">
        <v>184</v>
      </c>
      <c r="C219" s="17"/>
      <c r="D219" s="19">
        <v>310</v>
      </c>
      <c r="E219" s="19">
        <v>244</v>
      </c>
      <c r="F219" s="20" t="s">
        <v>166</v>
      </c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1">
        <f>M220</f>
        <v>11390</v>
      </c>
      <c r="T219" s="21">
        <f>M221</f>
        <v>11840</v>
      </c>
      <c r="U219" s="21">
        <f>M222</f>
        <v>12300</v>
      </c>
      <c r="V219" s="16"/>
    </row>
    <row r="220" spans="1:22" s="2" customFormat="1" ht="20.25" x14ac:dyDescent="0.25">
      <c r="A220" s="6"/>
      <c r="B220" s="22"/>
      <c r="C220" s="17"/>
      <c r="D220" s="8"/>
      <c r="E220" s="26"/>
      <c r="F220" s="10" t="str">
        <f>F216</f>
        <v>норматив на 2026 год :</v>
      </c>
      <c r="G220" s="24">
        <v>4</v>
      </c>
      <c r="H220" s="24" t="s">
        <v>56</v>
      </c>
      <c r="I220" s="24">
        <v>2847.26</v>
      </c>
      <c r="J220" s="24" t="s">
        <v>20</v>
      </c>
      <c r="K220" s="24">
        <f t="shared" ref="K220:K222" si="94">ROUND((G220*I220),2)</f>
        <v>11389.04</v>
      </c>
      <c r="L220" s="24" t="s">
        <v>20</v>
      </c>
      <c r="M220" s="23">
        <f>ROUNDUP((K220),-1)</f>
        <v>11390</v>
      </c>
      <c r="N220" s="23" t="s">
        <v>21</v>
      </c>
      <c r="O220" s="23"/>
      <c r="P220" s="24"/>
      <c r="Q220" s="27"/>
      <c r="R220" s="27"/>
      <c r="S220" s="21"/>
      <c r="T220" s="21"/>
      <c r="U220" s="21"/>
      <c r="V220" s="16" t="str">
        <f>""&amp;TEXT(G220,"0,0")&amp;" шт. х "&amp;TEXT(I220,"0,00")&amp;" руб. = "&amp;TEXT(K220,"0 000,00")&amp;" руб. = "&amp;TEXT(M220,"0 000,00")&amp;" руб."</f>
        <v>4,0 шт. х 2847,26 руб. = 11 389,04 руб. = 11 390,00 руб.</v>
      </c>
    </row>
    <row r="221" spans="1:22" s="2" customFormat="1" ht="20.25" x14ac:dyDescent="0.25">
      <c r="A221" s="6"/>
      <c r="B221" s="22"/>
      <c r="C221" s="17"/>
      <c r="D221" s="8"/>
      <c r="E221" s="26"/>
      <c r="F221" s="10" t="str">
        <f t="shared" ref="F221:F222" si="95">F217</f>
        <v>норматив на 2027 год :</v>
      </c>
      <c r="G221" s="24">
        <f>G220</f>
        <v>4</v>
      </c>
      <c r="H221" s="24" t="s">
        <v>56</v>
      </c>
      <c r="I221" s="24">
        <f>ROUNDUP(I220*(1.039),2)</f>
        <v>2958.3100000000004</v>
      </c>
      <c r="J221" s="24" t="s">
        <v>20</v>
      </c>
      <c r="K221" s="24">
        <f t="shared" si="94"/>
        <v>11833.24</v>
      </c>
      <c r="L221" s="24" t="s">
        <v>20</v>
      </c>
      <c r="M221" s="23">
        <f>ROUNDUP((K221),-1)</f>
        <v>11840</v>
      </c>
      <c r="N221" s="23" t="s">
        <v>21</v>
      </c>
      <c r="O221" s="23"/>
      <c r="P221" s="24"/>
      <c r="Q221" s="27"/>
      <c r="R221" s="27"/>
      <c r="S221" s="21"/>
      <c r="T221" s="21"/>
      <c r="U221" s="21"/>
      <c r="V221" s="16" t="str">
        <f t="shared" ref="V221:V222" si="96">""&amp;TEXT(G221,"0,0")&amp;" шт. х "&amp;TEXT(I221,"0,00")&amp;" руб. = "&amp;TEXT(K221,"0 000,00")&amp;" руб. = "&amp;TEXT(M221,"0 000,00")&amp;" руб."</f>
        <v>4,0 шт. х 2958,31 руб. = 11 833,24 руб. = 11 840,00 руб.</v>
      </c>
    </row>
    <row r="222" spans="1:22" s="2" customFormat="1" ht="20.25" x14ac:dyDescent="0.25">
      <c r="A222" s="6"/>
      <c r="B222" s="22"/>
      <c r="C222" s="17"/>
      <c r="D222" s="8"/>
      <c r="E222" s="26"/>
      <c r="F222" s="10" t="str">
        <f t="shared" si="95"/>
        <v>норматив на 2028 год :</v>
      </c>
      <c r="G222" s="24">
        <f>G221</f>
        <v>4</v>
      </c>
      <c r="H222" s="24" t="s">
        <v>56</v>
      </c>
      <c r="I222" s="24">
        <f>ROUNDUP(I221*(1.039),2)</f>
        <v>3073.69</v>
      </c>
      <c r="J222" s="24" t="s">
        <v>20</v>
      </c>
      <c r="K222" s="24">
        <f t="shared" si="94"/>
        <v>12294.76</v>
      </c>
      <c r="L222" s="24" t="s">
        <v>20</v>
      </c>
      <c r="M222" s="23">
        <f>ROUNDUP((K222),-1)</f>
        <v>12300</v>
      </c>
      <c r="N222" s="23" t="s">
        <v>21</v>
      </c>
      <c r="O222" s="23"/>
      <c r="P222" s="24"/>
      <c r="Q222" s="27"/>
      <c r="R222" s="27"/>
      <c r="S222" s="26"/>
      <c r="T222" s="26"/>
      <c r="U222" s="26"/>
      <c r="V222" s="16" t="str">
        <f t="shared" si="96"/>
        <v>4,0 шт. х 3073,69 руб. = 12 294,76 руб. = 12 300,00 руб.</v>
      </c>
    </row>
    <row r="223" spans="1:22" s="2" customFormat="1" ht="31.5" customHeight="1" x14ac:dyDescent="0.25">
      <c r="A223" s="6" t="s">
        <v>185</v>
      </c>
      <c r="B223" s="18" t="s">
        <v>186</v>
      </c>
      <c r="C223" s="17"/>
      <c r="D223" s="19">
        <v>345</v>
      </c>
      <c r="E223" s="19">
        <v>244</v>
      </c>
      <c r="F223" s="20" t="s">
        <v>166</v>
      </c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1">
        <f>M224</f>
        <v>8000</v>
      </c>
      <c r="T223" s="21">
        <f>M225</f>
        <v>8310</v>
      </c>
      <c r="U223" s="21">
        <f>M226</f>
        <v>8640</v>
      </c>
      <c r="V223" s="16"/>
    </row>
    <row r="224" spans="1:22" s="2" customFormat="1" ht="20.25" x14ac:dyDescent="0.25">
      <c r="A224" s="6"/>
      <c r="B224" s="22"/>
      <c r="C224" s="17"/>
      <c r="D224" s="8"/>
      <c r="E224" s="26"/>
      <c r="F224" s="10" t="str">
        <f>F220</f>
        <v>норматив на 2026 год :</v>
      </c>
      <c r="G224" s="24">
        <v>2</v>
      </c>
      <c r="H224" s="24" t="s">
        <v>56</v>
      </c>
      <c r="I224" s="24">
        <v>3997.77</v>
      </c>
      <c r="J224" s="24" t="s">
        <v>20</v>
      </c>
      <c r="K224" s="24">
        <f t="shared" ref="K224:K226" si="97">ROUND((G224*I224),2)</f>
        <v>7995.54</v>
      </c>
      <c r="L224" s="24" t="s">
        <v>20</v>
      </c>
      <c r="M224" s="23">
        <f>ROUNDUP((K224),-1)</f>
        <v>8000</v>
      </c>
      <c r="N224" s="23" t="s">
        <v>21</v>
      </c>
      <c r="O224" s="23"/>
      <c r="P224" s="24"/>
      <c r="Q224" s="27"/>
      <c r="R224" s="27"/>
      <c r="S224" s="21"/>
      <c r="T224" s="21"/>
      <c r="U224" s="21"/>
      <c r="V224" s="16" t="str">
        <f>""&amp;TEXT(G224,"0,0")&amp;" шт. х "&amp;TEXT(I224,"0,00")&amp;" руб. = "&amp;TEXT(K224,"0 000,00")&amp;" руб. = "&amp;TEXT(M224,"0 000,00")&amp;" руб."</f>
        <v>2,0 шт. х 3997,77 руб. = 7 995,54 руб. = 8 000,00 руб.</v>
      </c>
    </row>
    <row r="225" spans="1:22" s="2" customFormat="1" ht="20.25" x14ac:dyDescent="0.25">
      <c r="A225" s="6"/>
      <c r="B225" s="22"/>
      <c r="C225" s="17"/>
      <c r="D225" s="8"/>
      <c r="E225" s="26"/>
      <c r="F225" s="10" t="str">
        <f t="shared" ref="F225:F226" si="98">F221</f>
        <v>норматив на 2027 год :</v>
      </c>
      <c r="G225" s="24">
        <f>G224</f>
        <v>2</v>
      </c>
      <c r="H225" s="24" t="s">
        <v>56</v>
      </c>
      <c r="I225" s="24">
        <f>ROUNDUP(I224*(1.039),2)</f>
        <v>4153.6900000000005</v>
      </c>
      <c r="J225" s="24" t="s">
        <v>20</v>
      </c>
      <c r="K225" s="24">
        <f t="shared" si="97"/>
        <v>8307.3799999999992</v>
      </c>
      <c r="L225" s="24" t="s">
        <v>20</v>
      </c>
      <c r="M225" s="23">
        <f>ROUNDUP((K225),-1)</f>
        <v>8310</v>
      </c>
      <c r="N225" s="23" t="s">
        <v>21</v>
      </c>
      <c r="O225" s="23"/>
      <c r="P225" s="24"/>
      <c r="Q225" s="27"/>
      <c r="R225" s="27"/>
      <c r="S225" s="21"/>
      <c r="T225" s="21"/>
      <c r="U225" s="21"/>
      <c r="V225" s="16" t="str">
        <f t="shared" ref="V225:V226" si="99">""&amp;TEXT(G225,"0,0")&amp;" шт. х "&amp;TEXT(I225,"0,00")&amp;" руб. = "&amp;TEXT(K225,"0 000,00")&amp;" руб. = "&amp;TEXT(M225,"0 000,00")&amp;" руб."</f>
        <v>2,0 шт. х 4153,69 руб. = 8 307,38 руб. = 8 310,00 руб.</v>
      </c>
    </row>
    <row r="226" spans="1:22" s="2" customFormat="1" ht="20.25" x14ac:dyDescent="0.25">
      <c r="A226" s="6"/>
      <c r="B226" s="22"/>
      <c r="C226" s="17"/>
      <c r="D226" s="8"/>
      <c r="E226" s="26"/>
      <c r="F226" s="10" t="str">
        <f t="shared" si="98"/>
        <v>норматив на 2028 год :</v>
      </c>
      <c r="G226" s="24">
        <f>G225</f>
        <v>2</v>
      </c>
      <c r="H226" s="24" t="s">
        <v>56</v>
      </c>
      <c r="I226" s="24">
        <f>ROUNDUP(I225*(1.039),2)</f>
        <v>4315.6900000000005</v>
      </c>
      <c r="J226" s="24" t="s">
        <v>20</v>
      </c>
      <c r="K226" s="24">
        <f t="shared" si="97"/>
        <v>8631.3799999999992</v>
      </c>
      <c r="L226" s="24" t="s">
        <v>20</v>
      </c>
      <c r="M226" s="23">
        <f>ROUNDUP((K226),-1)</f>
        <v>8640</v>
      </c>
      <c r="N226" s="23" t="s">
        <v>21</v>
      </c>
      <c r="O226" s="23"/>
      <c r="P226" s="24"/>
      <c r="Q226" s="27"/>
      <c r="R226" s="27"/>
      <c r="S226" s="26"/>
      <c r="T226" s="26"/>
      <c r="U226" s="26"/>
      <c r="V226" s="16" t="str">
        <f t="shared" si="99"/>
        <v>2,0 шт. х 4315,69 руб. = 8 631,38 руб. = 8 640,00 руб.</v>
      </c>
    </row>
    <row r="227" spans="1:22" s="2" customFormat="1" ht="31.5" customHeight="1" x14ac:dyDescent="0.25">
      <c r="A227" s="6" t="s">
        <v>187</v>
      </c>
      <c r="B227" s="18" t="s">
        <v>188</v>
      </c>
      <c r="C227" s="17"/>
      <c r="D227" s="19">
        <v>345</v>
      </c>
      <c r="E227" s="19">
        <v>244</v>
      </c>
      <c r="F227" s="20" t="s">
        <v>166</v>
      </c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1">
        <f>M228</f>
        <v>1440</v>
      </c>
      <c r="T227" s="21">
        <f>M229</f>
        <v>1500</v>
      </c>
      <c r="U227" s="21">
        <f>M230</f>
        <v>1550</v>
      </c>
      <c r="V227" s="16"/>
    </row>
    <row r="228" spans="1:22" s="2" customFormat="1" ht="20.25" x14ac:dyDescent="0.25">
      <c r="A228" s="6"/>
      <c r="B228" s="22"/>
      <c r="C228" s="17"/>
      <c r="D228" s="8"/>
      <c r="E228" s="26"/>
      <c r="F228" s="10" t="str">
        <f>F224</f>
        <v>норматив на 2026 год :</v>
      </c>
      <c r="G228" s="24">
        <v>4</v>
      </c>
      <c r="H228" s="24" t="s">
        <v>56</v>
      </c>
      <c r="I228" s="24">
        <v>358.79</v>
      </c>
      <c r="J228" s="24" t="s">
        <v>20</v>
      </c>
      <c r="K228" s="24">
        <f t="shared" ref="K228:K230" si="100">ROUND((G228*I228),2)</f>
        <v>1435.16</v>
      </c>
      <c r="L228" s="24" t="s">
        <v>20</v>
      </c>
      <c r="M228" s="23">
        <f>ROUNDUP((K228),-1)</f>
        <v>1440</v>
      </c>
      <c r="N228" s="23" t="s">
        <v>21</v>
      </c>
      <c r="O228" s="23"/>
      <c r="P228" s="24"/>
      <c r="Q228" s="27"/>
      <c r="R228" s="27"/>
      <c r="S228" s="21"/>
      <c r="T228" s="21"/>
      <c r="U228" s="21"/>
      <c r="V228" s="16" t="str">
        <f>""&amp;TEXT(G228,"0,0")&amp;" шт. х "&amp;TEXT(I228,"0,00")&amp;" руб. = "&amp;TEXT(K228,"0 000,00")&amp;" руб. = "&amp;TEXT(M228,"0 000,00")&amp;" руб."</f>
        <v>4,0 шт. х 358,79 руб. = 1 435,16 руб. = 1 440,00 руб.</v>
      </c>
    </row>
    <row r="229" spans="1:22" s="2" customFormat="1" ht="20.25" x14ac:dyDescent="0.25">
      <c r="A229" s="6"/>
      <c r="B229" s="22"/>
      <c r="C229" s="17"/>
      <c r="D229" s="8"/>
      <c r="E229" s="26"/>
      <c r="F229" s="10" t="str">
        <f t="shared" ref="F229:F230" si="101">F225</f>
        <v>норматив на 2027 год :</v>
      </c>
      <c r="G229" s="24">
        <f>G228</f>
        <v>4</v>
      </c>
      <c r="H229" s="24" t="s">
        <v>56</v>
      </c>
      <c r="I229" s="24">
        <f>ROUNDUP(I228*(1.039),2)</f>
        <v>372.78999999999996</v>
      </c>
      <c r="J229" s="24" t="s">
        <v>20</v>
      </c>
      <c r="K229" s="24">
        <f t="shared" si="100"/>
        <v>1491.16</v>
      </c>
      <c r="L229" s="24" t="s">
        <v>20</v>
      </c>
      <c r="M229" s="23">
        <f>ROUNDUP((K229),-1)</f>
        <v>1500</v>
      </c>
      <c r="N229" s="23" t="s">
        <v>21</v>
      </c>
      <c r="O229" s="23"/>
      <c r="P229" s="24"/>
      <c r="Q229" s="27"/>
      <c r="R229" s="27"/>
      <c r="S229" s="21"/>
      <c r="T229" s="21"/>
      <c r="U229" s="21"/>
      <c r="V229" s="16" t="str">
        <f t="shared" ref="V229:V230" si="102">""&amp;TEXT(G229,"0,0")&amp;" шт. х "&amp;TEXT(I229,"0,00")&amp;" руб. = "&amp;TEXT(K229,"0 000,00")&amp;" руб. = "&amp;TEXT(M229,"0 000,00")&amp;" руб."</f>
        <v>4,0 шт. х 372,79 руб. = 1 491,16 руб. = 1 500,00 руб.</v>
      </c>
    </row>
    <row r="230" spans="1:22" s="2" customFormat="1" ht="20.25" x14ac:dyDescent="0.25">
      <c r="A230" s="6"/>
      <c r="B230" s="22"/>
      <c r="C230" s="17"/>
      <c r="D230" s="8"/>
      <c r="E230" s="26"/>
      <c r="F230" s="10" t="str">
        <f t="shared" si="101"/>
        <v>норматив на 2028 год :</v>
      </c>
      <c r="G230" s="24">
        <f>G229</f>
        <v>4</v>
      </c>
      <c r="H230" s="24" t="s">
        <v>56</v>
      </c>
      <c r="I230" s="24">
        <f>ROUNDUP(I229*(1.039),2)</f>
        <v>387.33</v>
      </c>
      <c r="J230" s="24" t="s">
        <v>20</v>
      </c>
      <c r="K230" s="24">
        <f t="shared" si="100"/>
        <v>1549.32</v>
      </c>
      <c r="L230" s="24" t="s">
        <v>20</v>
      </c>
      <c r="M230" s="23">
        <f>ROUNDUP((K230),-1)</f>
        <v>1550</v>
      </c>
      <c r="N230" s="23" t="s">
        <v>21</v>
      </c>
      <c r="O230" s="23"/>
      <c r="P230" s="24"/>
      <c r="Q230" s="27"/>
      <c r="R230" s="27"/>
      <c r="S230" s="26"/>
      <c r="T230" s="26"/>
      <c r="U230" s="26"/>
      <c r="V230" s="16" t="str">
        <f t="shared" si="102"/>
        <v>4,0 шт. х 387,33 руб. = 1 549,32 руб. = 1 550,00 руб.</v>
      </c>
    </row>
    <row r="231" spans="1:22" s="2" customFormat="1" ht="31.5" customHeight="1" x14ac:dyDescent="0.25">
      <c r="A231" s="6" t="s">
        <v>189</v>
      </c>
      <c r="B231" s="18" t="s">
        <v>190</v>
      </c>
      <c r="C231" s="17"/>
      <c r="D231" s="19">
        <v>310</v>
      </c>
      <c r="E231" s="19">
        <v>244</v>
      </c>
      <c r="F231" s="20" t="s">
        <v>166</v>
      </c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1">
        <f>M232</f>
        <v>11720</v>
      </c>
      <c r="T231" s="21">
        <f>M233</f>
        <v>12180</v>
      </c>
      <c r="U231" s="21">
        <f>M234</f>
        <v>12660</v>
      </c>
      <c r="V231" s="16"/>
    </row>
    <row r="232" spans="1:22" s="2" customFormat="1" ht="20.25" x14ac:dyDescent="0.25">
      <c r="A232" s="6"/>
      <c r="B232" s="22"/>
      <c r="C232" s="17"/>
      <c r="D232" s="8"/>
      <c r="E232" s="26"/>
      <c r="F232" s="10" t="str">
        <f>F228</f>
        <v>норматив на 2026 год :</v>
      </c>
      <c r="G232" s="24">
        <v>2</v>
      </c>
      <c r="H232" s="24" t="s">
        <v>56</v>
      </c>
      <c r="I232" s="24">
        <v>5859.92</v>
      </c>
      <c r="J232" s="24" t="s">
        <v>20</v>
      </c>
      <c r="K232" s="24">
        <f t="shared" ref="K232:K234" si="103">ROUND((G232*I232),2)</f>
        <v>11719.84</v>
      </c>
      <c r="L232" s="24" t="s">
        <v>20</v>
      </c>
      <c r="M232" s="23">
        <f>ROUNDUP((K232),-1)</f>
        <v>11720</v>
      </c>
      <c r="N232" s="23" t="s">
        <v>21</v>
      </c>
      <c r="O232" s="23"/>
      <c r="P232" s="24"/>
      <c r="Q232" s="27"/>
      <c r="R232" s="27"/>
      <c r="S232" s="21"/>
      <c r="T232" s="21"/>
      <c r="U232" s="21"/>
      <c r="V232" s="16" t="str">
        <f>""&amp;TEXT(G232,"0,0")&amp;" шт. х "&amp;TEXT(I232,"0,00")&amp;" руб. = "&amp;TEXT(K232,"0 000,00")&amp;" руб. = "&amp;TEXT(M232,"0 000,00")&amp;" руб."</f>
        <v>2,0 шт. х 5859,92 руб. = 11 719,84 руб. = 11 720,00 руб.</v>
      </c>
    </row>
    <row r="233" spans="1:22" s="2" customFormat="1" ht="20.25" x14ac:dyDescent="0.25">
      <c r="A233" s="6"/>
      <c r="B233" s="22"/>
      <c r="C233" s="17"/>
      <c r="D233" s="8"/>
      <c r="E233" s="26"/>
      <c r="F233" s="10" t="str">
        <f t="shared" ref="F233:F234" si="104">F229</f>
        <v>норматив на 2027 год :</v>
      </c>
      <c r="G233" s="24">
        <f>G232</f>
        <v>2</v>
      </c>
      <c r="H233" s="24" t="s">
        <v>56</v>
      </c>
      <c r="I233" s="24">
        <f>ROUNDUP(I232*(1.039),2)</f>
        <v>6088.46</v>
      </c>
      <c r="J233" s="24" t="s">
        <v>20</v>
      </c>
      <c r="K233" s="24">
        <f t="shared" si="103"/>
        <v>12176.92</v>
      </c>
      <c r="L233" s="24" t="s">
        <v>20</v>
      </c>
      <c r="M233" s="23">
        <f>ROUNDUP((K233),-1)</f>
        <v>12180</v>
      </c>
      <c r="N233" s="23" t="s">
        <v>21</v>
      </c>
      <c r="O233" s="23"/>
      <c r="P233" s="24"/>
      <c r="Q233" s="27"/>
      <c r="R233" s="27"/>
      <c r="S233" s="21"/>
      <c r="T233" s="21"/>
      <c r="U233" s="21"/>
      <c r="V233" s="16" t="str">
        <f t="shared" ref="V233:V234" si="105">""&amp;TEXT(G233,"0,0")&amp;" шт. х "&amp;TEXT(I233,"0,00")&amp;" руб. = "&amp;TEXT(K233,"0 000,00")&amp;" руб. = "&amp;TEXT(M233,"0 000,00")&amp;" руб."</f>
        <v>2,0 шт. х 6088,46 руб. = 12 176,92 руб. = 12 180,00 руб.</v>
      </c>
    </row>
    <row r="234" spans="1:22" s="2" customFormat="1" ht="20.25" x14ac:dyDescent="0.25">
      <c r="A234" s="6"/>
      <c r="B234" s="22"/>
      <c r="C234" s="17"/>
      <c r="D234" s="8"/>
      <c r="E234" s="26"/>
      <c r="F234" s="10" t="str">
        <f t="shared" si="104"/>
        <v>норматив на 2028 год :</v>
      </c>
      <c r="G234" s="24">
        <f>G233</f>
        <v>2</v>
      </c>
      <c r="H234" s="24" t="s">
        <v>56</v>
      </c>
      <c r="I234" s="24">
        <f>ROUNDUP(I233*(1.039),2)</f>
        <v>6325.91</v>
      </c>
      <c r="J234" s="24" t="s">
        <v>20</v>
      </c>
      <c r="K234" s="24">
        <f t="shared" si="103"/>
        <v>12651.82</v>
      </c>
      <c r="L234" s="24" t="s">
        <v>20</v>
      </c>
      <c r="M234" s="23">
        <f>ROUNDUP((K234),-1)</f>
        <v>12660</v>
      </c>
      <c r="N234" s="23" t="s">
        <v>21</v>
      </c>
      <c r="O234" s="23"/>
      <c r="P234" s="24"/>
      <c r="Q234" s="27"/>
      <c r="R234" s="27"/>
      <c r="S234" s="26"/>
      <c r="T234" s="26"/>
      <c r="U234" s="26"/>
      <c r="V234" s="16" t="str">
        <f t="shared" si="105"/>
        <v>2,0 шт. х 6325,91 руб. = 12 651,82 руб. = 12 660,00 руб.</v>
      </c>
    </row>
    <row r="235" spans="1:22" s="2" customFormat="1" ht="20.25" x14ac:dyDescent="0.25">
      <c r="A235" s="6" t="s">
        <v>191</v>
      </c>
      <c r="B235" s="18" t="s">
        <v>192</v>
      </c>
      <c r="C235" s="17"/>
      <c r="D235" s="19">
        <v>346</v>
      </c>
      <c r="E235" s="19">
        <v>244</v>
      </c>
      <c r="F235" s="20" t="s">
        <v>193</v>
      </c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1">
        <f>M236</f>
        <v>64800</v>
      </c>
      <c r="T235" s="21">
        <f>M237</f>
        <v>67300</v>
      </c>
      <c r="U235" s="21">
        <f>M238</f>
        <v>69900</v>
      </c>
      <c r="V235" s="16"/>
    </row>
    <row r="236" spans="1:22" s="2" customFormat="1" ht="20.25" x14ac:dyDescent="0.25">
      <c r="A236" s="6"/>
      <c r="B236" s="22"/>
      <c r="C236" s="17"/>
      <c r="D236" s="8"/>
      <c r="E236" s="26"/>
      <c r="F236" s="10" t="str">
        <f>F14</f>
        <v>норматив на 2026 год :</v>
      </c>
      <c r="G236" s="24">
        <v>1</v>
      </c>
      <c r="H236" s="24" t="s">
        <v>41</v>
      </c>
      <c r="I236" s="24">
        <f>ROUNDUP((64707.44),2)</f>
        <v>64707.44</v>
      </c>
      <c r="J236" s="24" t="s">
        <v>20</v>
      </c>
      <c r="K236" s="24">
        <f>ROUND((G236*I236),2)</f>
        <v>64707.44</v>
      </c>
      <c r="L236" s="24" t="s">
        <v>20</v>
      </c>
      <c r="M236" s="23">
        <f>ROUNDUP((K236),-2)</f>
        <v>64800</v>
      </c>
      <c r="N236" s="23" t="s">
        <v>21</v>
      </c>
      <c r="O236" s="23"/>
      <c r="P236" s="24"/>
      <c r="Q236" s="27"/>
      <c r="R236" s="27"/>
      <c r="S236" s="21"/>
      <c r="T236" s="21"/>
      <c r="U236" s="21"/>
      <c r="V236" s="16" t="str">
        <f>""&amp;TEXT(G236,"0,0")&amp;" у.ед. х "&amp;TEXT(I236,"0,00")&amp;" руб. = "&amp;TEXT(K236,"0 000,00")&amp;" руб. = "&amp;TEXT(M236,"0 000,00")&amp;" руб."</f>
        <v>1,0 у.ед. х 64707,44 руб. = 64 707,44 руб. = 64 800,00 руб.</v>
      </c>
    </row>
    <row r="237" spans="1:22" s="2" customFormat="1" ht="20.25" x14ac:dyDescent="0.25">
      <c r="A237" s="6"/>
      <c r="B237" s="22"/>
      <c r="C237" s="17"/>
      <c r="D237" s="8"/>
      <c r="E237" s="26"/>
      <c r="F237" s="10" t="str">
        <f>F15</f>
        <v>норматив на 2027 год :</v>
      </c>
      <c r="G237" s="24">
        <f>G236</f>
        <v>1</v>
      </c>
      <c r="H237" s="24" t="s">
        <v>41</v>
      </c>
      <c r="I237" s="24">
        <f>ROUNDUP(I236*(1.039),2)</f>
        <v>67231.039999999994</v>
      </c>
      <c r="J237" s="24" t="s">
        <v>20</v>
      </c>
      <c r="K237" s="24">
        <f t="shared" ref="K237:K238" si="106">ROUND((G237*I237),2)</f>
        <v>67231.039999999994</v>
      </c>
      <c r="L237" s="24" t="s">
        <v>20</v>
      </c>
      <c r="M237" s="23">
        <f t="shared" ref="M237:M238" si="107">ROUNDUP((K237),-2)</f>
        <v>67300</v>
      </c>
      <c r="N237" s="23" t="s">
        <v>21</v>
      </c>
      <c r="O237" s="23"/>
      <c r="P237" s="24"/>
      <c r="Q237" s="27"/>
      <c r="R237" s="27"/>
      <c r="S237" s="21"/>
      <c r="T237" s="21"/>
      <c r="U237" s="21"/>
      <c r="V237" s="16" t="str">
        <f>""&amp;TEXT(G237,"0,0")&amp;" у.ед. х "&amp;TEXT(I237,"0,00")&amp;" руб. = "&amp;TEXT(K237,"0 000,00")&amp;" руб. = "&amp;TEXT(M237,"0 000,00")&amp;" руб."</f>
        <v>1,0 у.ед. х 67231,04 руб. = 67 231,04 руб. = 67 300,00 руб.</v>
      </c>
    </row>
    <row r="238" spans="1:22" s="2" customFormat="1" ht="20.25" x14ac:dyDescent="0.25">
      <c r="A238" s="6"/>
      <c r="B238" s="22"/>
      <c r="C238" s="17"/>
      <c r="D238" s="8"/>
      <c r="E238" s="26"/>
      <c r="F238" s="10" t="str">
        <f>F16</f>
        <v>норматив на 2028 год :</v>
      </c>
      <c r="G238" s="24">
        <f>G237</f>
        <v>1</v>
      </c>
      <c r="H238" s="24" t="s">
        <v>41</v>
      </c>
      <c r="I238" s="24">
        <f>ROUNDUP(I237*(1.039),2)</f>
        <v>69853.06</v>
      </c>
      <c r="J238" s="24" t="s">
        <v>20</v>
      </c>
      <c r="K238" s="24">
        <f t="shared" si="106"/>
        <v>69853.06</v>
      </c>
      <c r="L238" s="24" t="s">
        <v>20</v>
      </c>
      <c r="M238" s="23">
        <f t="shared" si="107"/>
        <v>69900</v>
      </c>
      <c r="N238" s="23" t="s">
        <v>21</v>
      </c>
      <c r="O238" s="23"/>
      <c r="P238" s="24"/>
      <c r="Q238" s="23"/>
      <c r="R238" s="23"/>
      <c r="S238" s="26"/>
      <c r="T238" s="26"/>
      <c r="U238" s="26"/>
      <c r="V238" s="16" t="str">
        <f>""&amp;TEXT(G238,"0,0")&amp;"  у.ед. х "&amp;TEXT(I238,"0,00")&amp;" руб. = "&amp;TEXT(K238,"0 000,00")&amp;" руб. = "&amp;TEXT(M238,"0 000,00")&amp;" руб."</f>
        <v>1,0  у.ед. х 69853,06 руб. = 69 853,06 руб. = 69 900,00 руб.</v>
      </c>
    </row>
    <row r="239" spans="1:22" s="2" customFormat="1" ht="27.75" customHeight="1" x14ac:dyDescent="0.25">
      <c r="A239" s="67" t="s">
        <v>194</v>
      </c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</row>
    <row r="240" spans="1:22" s="2" customFormat="1" ht="10.5" customHeight="1" x14ac:dyDescent="0.25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</row>
    <row r="241" spans="1:1" s="2" customFormat="1" x14ac:dyDescent="0.25">
      <c r="A241" s="58"/>
    </row>
    <row r="242" spans="1:1" s="2" customFormat="1" x14ac:dyDescent="0.25"/>
    <row r="243" spans="1:1" s="2" customFormat="1" x14ac:dyDescent="0.25"/>
    <row r="244" spans="1:1" s="2" customFormat="1" x14ac:dyDescent="0.25"/>
    <row r="245" spans="1:1" s="2" customFormat="1" x14ac:dyDescent="0.25"/>
    <row r="246" spans="1:1" s="2" customFormat="1" x14ac:dyDescent="0.25"/>
    <row r="247" spans="1:1" s="2" customFormat="1" x14ac:dyDescent="0.25"/>
    <row r="248" spans="1:1" s="2" customFormat="1" x14ac:dyDescent="0.25"/>
    <row r="249" spans="1:1" s="2" customFormat="1" x14ac:dyDescent="0.25"/>
    <row r="250" spans="1:1" s="2" customFormat="1" x14ac:dyDescent="0.25"/>
    <row r="251" spans="1:1" s="2" customFormat="1" x14ac:dyDescent="0.25"/>
  </sheetData>
  <mergeCells count="457">
    <mergeCell ref="T235:T238"/>
    <mergeCell ref="U235:U238"/>
    <mergeCell ref="A239:V239"/>
    <mergeCell ref="A235:A238"/>
    <mergeCell ref="B235:B238"/>
    <mergeCell ref="D235:D238"/>
    <mergeCell ref="E235:E238"/>
    <mergeCell ref="F235:R235"/>
    <mergeCell ref="S235:S238"/>
    <mergeCell ref="T227:T230"/>
    <mergeCell ref="U227:U230"/>
    <mergeCell ref="A231:A234"/>
    <mergeCell ref="B231:B234"/>
    <mergeCell ref="D231:D234"/>
    <mergeCell ref="E231:E234"/>
    <mergeCell ref="F231:R231"/>
    <mergeCell ref="S231:S234"/>
    <mergeCell ref="T231:T234"/>
    <mergeCell ref="U231:U234"/>
    <mergeCell ref="A227:A230"/>
    <mergeCell ref="B227:B230"/>
    <mergeCell ref="D227:D230"/>
    <mergeCell ref="E227:E230"/>
    <mergeCell ref="F227:R227"/>
    <mergeCell ref="S227:S230"/>
    <mergeCell ref="T219:T222"/>
    <mergeCell ref="U219:U222"/>
    <mergeCell ref="A223:A226"/>
    <mergeCell ref="B223:B226"/>
    <mergeCell ref="D223:D226"/>
    <mergeCell ref="E223:E226"/>
    <mergeCell ref="F223:R223"/>
    <mergeCell ref="S223:S226"/>
    <mergeCell ref="T223:T226"/>
    <mergeCell ref="U223:U226"/>
    <mergeCell ref="A219:A222"/>
    <mergeCell ref="B219:B222"/>
    <mergeCell ref="D219:D222"/>
    <mergeCell ref="E219:E222"/>
    <mergeCell ref="F219:R219"/>
    <mergeCell ref="S219:S222"/>
    <mergeCell ref="T211:T214"/>
    <mergeCell ref="U211:U214"/>
    <mergeCell ref="A215:A218"/>
    <mergeCell ref="B215:B218"/>
    <mergeCell ref="D215:D218"/>
    <mergeCell ref="E215:E218"/>
    <mergeCell ref="F215:R215"/>
    <mergeCell ref="S215:S218"/>
    <mergeCell ref="T215:T218"/>
    <mergeCell ref="U215:U218"/>
    <mergeCell ref="A211:A214"/>
    <mergeCell ref="B211:B214"/>
    <mergeCell ref="D211:D214"/>
    <mergeCell ref="E211:E214"/>
    <mergeCell ref="F211:R211"/>
    <mergeCell ref="S211:S214"/>
    <mergeCell ref="T203:T206"/>
    <mergeCell ref="U203:U206"/>
    <mergeCell ref="A207:A210"/>
    <mergeCell ref="B207:B210"/>
    <mergeCell ref="D207:D210"/>
    <mergeCell ref="E207:E210"/>
    <mergeCell ref="F207:R207"/>
    <mergeCell ref="S207:S210"/>
    <mergeCell ref="T207:T210"/>
    <mergeCell ref="U207:U210"/>
    <mergeCell ref="A203:A206"/>
    <mergeCell ref="B203:B206"/>
    <mergeCell ref="D203:D206"/>
    <mergeCell ref="E203:E206"/>
    <mergeCell ref="F203:R203"/>
    <mergeCell ref="S203:S206"/>
    <mergeCell ref="T195:T198"/>
    <mergeCell ref="U195:U198"/>
    <mergeCell ref="A199:A202"/>
    <mergeCell ref="B199:B202"/>
    <mergeCell ref="D199:D202"/>
    <mergeCell ref="E199:E202"/>
    <mergeCell ref="F199:R199"/>
    <mergeCell ref="S199:S202"/>
    <mergeCell ref="T199:T202"/>
    <mergeCell ref="U199:U202"/>
    <mergeCell ref="A195:A198"/>
    <mergeCell ref="B195:B198"/>
    <mergeCell ref="D195:D198"/>
    <mergeCell ref="E195:E198"/>
    <mergeCell ref="F195:R195"/>
    <mergeCell ref="S195:S198"/>
    <mergeCell ref="T187:T190"/>
    <mergeCell ref="U187:U190"/>
    <mergeCell ref="A191:A194"/>
    <mergeCell ref="B191:B194"/>
    <mergeCell ref="D191:D194"/>
    <mergeCell ref="E191:E194"/>
    <mergeCell ref="F191:R191"/>
    <mergeCell ref="S191:S194"/>
    <mergeCell ref="T191:T194"/>
    <mergeCell ref="U191:U194"/>
    <mergeCell ref="A187:A190"/>
    <mergeCell ref="B187:B190"/>
    <mergeCell ref="D187:D190"/>
    <mergeCell ref="E187:E190"/>
    <mergeCell ref="F187:R187"/>
    <mergeCell ref="S187:S190"/>
    <mergeCell ref="U179:U182"/>
    <mergeCell ref="A183:A186"/>
    <mergeCell ref="B183:B186"/>
    <mergeCell ref="D183:D186"/>
    <mergeCell ref="E183:E186"/>
    <mergeCell ref="F183:R183"/>
    <mergeCell ref="S183:S186"/>
    <mergeCell ref="T183:T186"/>
    <mergeCell ref="U183:U186"/>
    <mergeCell ref="S175:S178"/>
    <mergeCell ref="T175:T178"/>
    <mergeCell ref="U175:U178"/>
    <mergeCell ref="A179:A182"/>
    <mergeCell ref="B179:B182"/>
    <mergeCell ref="D179:D182"/>
    <mergeCell ref="E179:E182"/>
    <mergeCell ref="F179:R179"/>
    <mergeCell ref="S179:S182"/>
    <mergeCell ref="T179:T182"/>
    <mergeCell ref="F174:R174"/>
    <mergeCell ref="A175:A178"/>
    <mergeCell ref="B175:B178"/>
    <mergeCell ref="D175:D178"/>
    <mergeCell ref="E175:E178"/>
    <mergeCell ref="F175:R175"/>
    <mergeCell ref="T166:T169"/>
    <mergeCell ref="U166:U169"/>
    <mergeCell ref="A170:A173"/>
    <mergeCell ref="B170:B173"/>
    <mergeCell ref="D170:D173"/>
    <mergeCell ref="E170:E173"/>
    <mergeCell ref="F170:R170"/>
    <mergeCell ref="S170:S173"/>
    <mergeCell ref="T170:T173"/>
    <mergeCell ref="U170:U173"/>
    <mergeCell ref="A166:A169"/>
    <mergeCell ref="B166:B169"/>
    <mergeCell ref="D166:D169"/>
    <mergeCell ref="E166:E169"/>
    <mergeCell ref="F166:R166"/>
    <mergeCell ref="S166:S169"/>
    <mergeCell ref="U158:U161"/>
    <mergeCell ref="A162:A165"/>
    <mergeCell ref="B162:B165"/>
    <mergeCell ref="D162:D165"/>
    <mergeCell ref="E162:E165"/>
    <mergeCell ref="F162:R162"/>
    <mergeCell ref="S162:S165"/>
    <mergeCell ref="T162:T165"/>
    <mergeCell ref="U162:U165"/>
    <mergeCell ref="T153:T156"/>
    <mergeCell ref="U153:U156"/>
    <mergeCell ref="F157:R157"/>
    <mergeCell ref="A158:A161"/>
    <mergeCell ref="B158:B161"/>
    <mergeCell ref="D158:D161"/>
    <mergeCell ref="E158:E161"/>
    <mergeCell ref="F158:R158"/>
    <mergeCell ref="S158:S161"/>
    <mergeCell ref="T158:T161"/>
    <mergeCell ref="A153:A156"/>
    <mergeCell ref="B153:B156"/>
    <mergeCell ref="D153:D156"/>
    <mergeCell ref="E153:E156"/>
    <mergeCell ref="F153:R153"/>
    <mergeCell ref="S153:S156"/>
    <mergeCell ref="U145:U148"/>
    <mergeCell ref="A149:A152"/>
    <mergeCell ref="B149:B152"/>
    <mergeCell ref="D149:D152"/>
    <mergeCell ref="E149:E152"/>
    <mergeCell ref="F149:R149"/>
    <mergeCell ref="S149:S152"/>
    <mergeCell ref="T149:T152"/>
    <mergeCell ref="U149:U152"/>
    <mergeCell ref="T140:T143"/>
    <mergeCell ref="U140:U143"/>
    <mergeCell ref="F144:R144"/>
    <mergeCell ref="A145:A148"/>
    <mergeCell ref="B145:B148"/>
    <mergeCell ref="D145:D148"/>
    <mergeCell ref="E145:E148"/>
    <mergeCell ref="F145:R145"/>
    <mergeCell ref="S145:S148"/>
    <mergeCell ref="T145:T148"/>
    <mergeCell ref="A140:A143"/>
    <mergeCell ref="B140:B143"/>
    <mergeCell ref="D140:D143"/>
    <mergeCell ref="E140:E143"/>
    <mergeCell ref="F140:R140"/>
    <mergeCell ref="S140:S143"/>
    <mergeCell ref="T132:T135"/>
    <mergeCell ref="U132:U135"/>
    <mergeCell ref="A136:A139"/>
    <mergeCell ref="B136:B139"/>
    <mergeCell ref="D136:D139"/>
    <mergeCell ref="E136:E139"/>
    <mergeCell ref="F136:R136"/>
    <mergeCell ref="S136:S139"/>
    <mergeCell ref="T136:T139"/>
    <mergeCell ref="U136:U139"/>
    <mergeCell ref="A132:A135"/>
    <mergeCell ref="B132:B135"/>
    <mergeCell ref="D132:D135"/>
    <mergeCell ref="E132:E135"/>
    <mergeCell ref="F132:R132"/>
    <mergeCell ref="S132:S135"/>
    <mergeCell ref="T124:T127"/>
    <mergeCell ref="U124:U127"/>
    <mergeCell ref="A128:A131"/>
    <mergeCell ref="B128:B131"/>
    <mergeCell ref="D128:D131"/>
    <mergeCell ref="E128:E131"/>
    <mergeCell ref="F128:R128"/>
    <mergeCell ref="S128:S131"/>
    <mergeCell ref="T128:T131"/>
    <mergeCell ref="U128:U131"/>
    <mergeCell ref="A124:A127"/>
    <mergeCell ref="B124:B127"/>
    <mergeCell ref="D124:D127"/>
    <mergeCell ref="E124:E127"/>
    <mergeCell ref="F124:R124"/>
    <mergeCell ref="S124:S127"/>
    <mergeCell ref="T116:T119"/>
    <mergeCell ref="U116:U119"/>
    <mergeCell ref="A120:A123"/>
    <mergeCell ref="B120:B123"/>
    <mergeCell ref="D120:D123"/>
    <mergeCell ref="E120:E123"/>
    <mergeCell ref="F120:R120"/>
    <mergeCell ref="S120:S123"/>
    <mergeCell ref="T120:T123"/>
    <mergeCell ref="U120:U123"/>
    <mergeCell ref="A116:A119"/>
    <mergeCell ref="B116:B119"/>
    <mergeCell ref="D116:D119"/>
    <mergeCell ref="E116:E119"/>
    <mergeCell ref="F116:R116"/>
    <mergeCell ref="S116:S119"/>
    <mergeCell ref="T108:T111"/>
    <mergeCell ref="U108:U111"/>
    <mergeCell ref="A112:A115"/>
    <mergeCell ref="B112:B115"/>
    <mergeCell ref="D112:D115"/>
    <mergeCell ref="E112:E115"/>
    <mergeCell ref="F112:R112"/>
    <mergeCell ref="S112:S115"/>
    <mergeCell ref="T112:T115"/>
    <mergeCell ref="U112:U115"/>
    <mergeCell ref="A108:A111"/>
    <mergeCell ref="B108:B111"/>
    <mergeCell ref="D108:D111"/>
    <mergeCell ref="E108:E111"/>
    <mergeCell ref="F108:R108"/>
    <mergeCell ref="S108:S111"/>
    <mergeCell ref="T100:T103"/>
    <mergeCell ref="U100:U103"/>
    <mergeCell ref="A104:A107"/>
    <mergeCell ref="B104:B107"/>
    <mergeCell ref="D104:D107"/>
    <mergeCell ref="E104:E107"/>
    <mergeCell ref="F104:R104"/>
    <mergeCell ref="S104:S107"/>
    <mergeCell ref="T104:T107"/>
    <mergeCell ref="U104:U107"/>
    <mergeCell ref="A100:A103"/>
    <mergeCell ref="B100:B103"/>
    <mergeCell ref="D100:D103"/>
    <mergeCell ref="E100:E103"/>
    <mergeCell ref="F100:R100"/>
    <mergeCell ref="S100:S103"/>
    <mergeCell ref="U92:U95"/>
    <mergeCell ref="A96:A99"/>
    <mergeCell ref="B96:B99"/>
    <mergeCell ref="D96:D99"/>
    <mergeCell ref="E96:E99"/>
    <mergeCell ref="F96:R96"/>
    <mergeCell ref="S96:S99"/>
    <mergeCell ref="T96:T99"/>
    <mergeCell ref="U96:U99"/>
    <mergeCell ref="S88:S91"/>
    <mergeCell ref="T88:T91"/>
    <mergeCell ref="U88:U91"/>
    <mergeCell ref="A92:A95"/>
    <mergeCell ref="B92:B95"/>
    <mergeCell ref="D92:D95"/>
    <mergeCell ref="E92:E95"/>
    <mergeCell ref="F92:R92"/>
    <mergeCell ref="S92:S95"/>
    <mergeCell ref="T92:T95"/>
    <mergeCell ref="F87:R87"/>
    <mergeCell ref="A88:A91"/>
    <mergeCell ref="B88:B91"/>
    <mergeCell ref="D88:D91"/>
    <mergeCell ref="E88:E91"/>
    <mergeCell ref="F88:R88"/>
    <mergeCell ref="T79:T82"/>
    <mergeCell ref="U79:U82"/>
    <mergeCell ref="A83:A86"/>
    <mergeCell ref="B83:B86"/>
    <mergeCell ref="D83:D86"/>
    <mergeCell ref="E83:E86"/>
    <mergeCell ref="F83:R83"/>
    <mergeCell ref="S83:S86"/>
    <mergeCell ref="T83:T86"/>
    <mergeCell ref="U83:U86"/>
    <mergeCell ref="A79:A82"/>
    <mergeCell ref="B79:B82"/>
    <mergeCell ref="D79:D82"/>
    <mergeCell ref="E79:E82"/>
    <mergeCell ref="F79:R79"/>
    <mergeCell ref="S79:S82"/>
    <mergeCell ref="T71:T74"/>
    <mergeCell ref="U71:U74"/>
    <mergeCell ref="A75:A78"/>
    <mergeCell ref="B75:B78"/>
    <mergeCell ref="D75:D78"/>
    <mergeCell ref="E75:E78"/>
    <mergeCell ref="F75:R75"/>
    <mergeCell ref="S75:S78"/>
    <mergeCell ref="T75:T78"/>
    <mergeCell ref="U75:U78"/>
    <mergeCell ref="A71:A74"/>
    <mergeCell ref="B71:B74"/>
    <mergeCell ref="D71:D74"/>
    <mergeCell ref="E71:E74"/>
    <mergeCell ref="F71:R71"/>
    <mergeCell ref="S71:S74"/>
    <mergeCell ref="T63:T66"/>
    <mergeCell ref="U63:U66"/>
    <mergeCell ref="A67:A70"/>
    <mergeCell ref="B67:B70"/>
    <mergeCell ref="D67:D70"/>
    <mergeCell ref="E67:E70"/>
    <mergeCell ref="F67:R67"/>
    <mergeCell ref="S67:S70"/>
    <mergeCell ref="T67:T70"/>
    <mergeCell ref="U67:U70"/>
    <mergeCell ref="A63:A66"/>
    <mergeCell ref="B63:B66"/>
    <mergeCell ref="D63:D66"/>
    <mergeCell ref="E63:E66"/>
    <mergeCell ref="F63:R63"/>
    <mergeCell ref="S63:S66"/>
    <mergeCell ref="T55:T58"/>
    <mergeCell ref="U55:U58"/>
    <mergeCell ref="A59:A62"/>
    <mergeCell ref="B59:B62"/>
    <mergeCell ref="D59:D62"/>
    <mergeCell ref="E59:E62"/>
    <mergeCell ref="F59:R59"/>
    <mergeCell ref="S59:S62"/>
    <mergeCell ref="T59:T62"/>
    <mergeCell ref="U59:U62"/>
    <mergeCell ref="A55:A58"/>
    <mergeCell ref="B55:B58"/>
    <mergeCell ref="D55:D58"/>
    <mergeCell ref="E55:E58"/>
    <mergeCell ref="F55:R55"/>
    <mergeCell ref="S55:S58"/>
    <mergeCell ref="T47:T50"/>
    <mergeCell ref="U47:U50"/>
    <mergeCell ref="A51:A54"/>
    <mergeCell ref="B51:B54"/>
    <mergeCell ref="D51:D54"/>
    <mergeCell ref="E51:E54"/>
    <mergeCell ref="F51:R51"/>
    <mergeCell ref="S51:S54"/>
    <mergeCell ref="T51:T54"/>
    <mergeCell ref="U51:U54"/>
    <mergeCell ref="A47:A50"/>
    <mergeCell ref="B47:B50"/>
    <mergeCell ref="D47:D50"/>
    <mergeCell ref="E47:E50"/>
    <mergeCell ref="F47:R47"/>
    <mergeCell ref="S47:S50"/>
    <mergeCell ref="T39:T42"/>
    <mergeCell ref="U39:U42"/>
    <mergeCell ref="A43:A46"/>
    <mergeCell ref="B43:B46"/>
    <mergeCell ref="D43:D46"/>
    <mergeCell ref="E43:E46"/>
    <mergeCell ref="F43:R43"/>
    <mergeCell ref="S43:S46"/>
    <mergeCell ref="T43:T46"/>
    <mergeCell ref="U43:U46"/>
    <mergeCell ref="A39:A42"/>
    <mergeCell ref="B39:B42"/>
    <mergeCell ref="D39:D42"/>
    <mergeCell ref="E39:E42"/>
    <mergeCell ref="F39:R39"/>
    <mergeCell ref="S39:S42"/>
    <mergeCell ref="T31:T34"/>
    <mergeCell ref="U31:U34"/>
    <mergeCell ref="A35:A38"/>
    <mergeCell ref="B35:B38"/>
    <mergeCell ref="D35:D38"/>
    <mergeCell ref="E35:E38"/>
    <mergeCell ref="F35:R35"/>
    <mergeCell ref="S35:S38"/>
    <mergeCell ref="T35:T38"/>
    <mergeCell ref="U35:U38"/>
    <mergeCell ref="S26:S29"/>
    <mergeCell ref="T26:T29"/>
    <mergeCell ref="U26:U29"/>
    <mergeCell ref="F30:R30"/>
    <mergeCell ref="A31:A34"/>
    <mergeCell ref="B31:B34"/>
    <mergeCell ref="D31:D34"/>
    <mergeCell ref="E31:E34"/>
    <mergeCell ref="F31:R31"/>
    <mergeCell ref="S31:S34"/>
    <mergeCell ref="V18:V19"/>
    <mergeCell ref="V20:V21"/>
    <mergeCell ref="V22:V23"/>
    <mergeCell ref="F24:R24"/>
    <mergeCell ref="F25:R25"/>
    <mergeCell ref="A26:A29"/>
    <mergeCell ref="B26:B29"/>
    <mergeCell ref="D26:D29"/>
    <mergeCell ref="E26:E29"/>
    <mergeCell ref="F26:R26"/>
    <mergeCell ref="T13:T16"/>
    <mergeCell ref="U13:U16"/>
    <mergeCell ref="A17:A23"/>
    <mergeCell ref="B17:B23"/>
    <mergeCell ref="D17:D23"/>
    <mergeCell ref="E17:E23"/>
    <mergeCell ref="F17:R17"/>
    <mergeCell ref="S17:S23"/>
    <mergeCell ref="T17:T23"/>
    <mergeCell ref="U17:U23"/>
    <mergeCell ref="S8:U8"/>
    <mergeCell ref="V8:V9"/>
    <mergeCell ref="F11:R11"/>
    <mergeCell ref="F12:R12"/>
    <mergeCell ref="A13:A16"/>
    <mergeCell ref="B13:B16"/>
    <mergeCell ref="D13:D16"/>
    <mergeCell ref="E13:E16"/>
    <mergeCell ref="F13:R13"/>
    <mergeCell ref="S13:S16"/>
    <mergeCell ref="A2:V2"/>
    <mergeCell ref="A3:V3"/>
    <mergeCell ref="A4:V4"/>
    <mergeCell ref="A5:V5"/>
    <mergeCell ref="A6:V6"/>
    <mergeCell ref="A8:A9"/>
    <mergeCell ref="B8:B9"/>
    <mergeCell ref="D8:D9"/>
    <mergeCell ref="E8:E9"/>
    <mergeCell ref="F8:R9"/>
  </mergeCells>
  <pageMargins left="0.78740157480314965" right="0.78740157480314965" top="1.1811023622047245" bottom="0.39370078740157483" header="0.31496062992125984" footer="0.31496062992125984"/>
  <pageSetup paperSize="9" scale="47" fitToHeight="0" orientation="landscape" r:id="rId1"/>
  <headerFooter differentFirst="1"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2025-06-09T13:07:01Z</dcterms:modified>
</cp:coreProperties>
</file>