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  <definedName name="_xlnm.Print_Area" localSheetId="0">Лист2!$A$1:$F$47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5" i="2" l="1"/>
  <c r="C21" i="2"/>
  <c r="E28" i="2" l="1"/>
  <c r="C43" i="2"/>
  <c r="C44" i="2"/>
  <c r="C46" i="2"/>
  <c r="D25" i="2"/>
  <c r="E25" i="2" s="1"/>
  <c r="C42" i="2"/>
  <c r="E41" i="2"/>
  <c r="D41" i="2"/>
  <c r="C40" i="2"/>
  <c r="E39" i="2"/>
  <c r="D39" i="2"/>
  <c r="C39" i="2"/>
  <c r="C37" i="2"/>
  <c r="C36" i="2"/>
  <c r="C35" i="2"/>
  <c r="E34" i="2"/>
  <c r="D34" i="2"/>
  <c r="C34" i="2"/>
  <c r="C32" i="2"/>
  <c r="E30" i="2"/>
  <c r="D30" i="2"/>
  <c r="C30" i="2"/>
  <c r="C29" i="2"/>
  <c r="C26" i="2"/>
  <c r="C24" i="2"/>
  <c r="C19" i="2"/>
  <c r="D19" i="2" s="1"/>
  <c r="E19" i="2" s="1"/>
  <c r="E18" i="2"/>
  <c r="D18" i="2"/>
  <c r="C18" i="2"/>
  <c r="E16" i="2"/>
  <c r="D16" i="2"/>
  <c r="C16" i="2"/>
  <c r="D26" i="2" l="1"/>
  <c r="D36" i="2" l="1"/>
  <c r="E36" i="2" s="1"/>
  <c r="D35" i="2"/>
  <c r="E35" i="2" s="1"/>
  <c r="C31" i="2"/>
  <c r="C23" i="2"/>
  <c r="D14" i="2" l="1"/>
  <c r="C13" i="2"/>
  <c r="D43" i="2" l="1"/>
  <c r="E43" i="2" s="1"/>
  <c r="D46" i="2"/>
  <c r="E46" i="2" s="1"/>
  <c r="D40" i="2"/>
  <c r="E40" i="2" s="1"/>
  <c r="D42" i="2"/>
  <c r="E42" i="2" s="1"/>
  <c r="D44" i="2"/>
  <c r="E44" i="2" s="1"/>
  <c r="C41" i="2"/>
  <c r="D37" i="2"/>
  <c r="E37" i="2" s="1"/>
  <c r="D32" i="2"/>
  <c r="E32" i="2" s="1"/>
  <c r="D31" i="2"/>
  <c r="E31" i="2" s="1"/>
  <c r="D29" i="2"/>
  <c r="E29" i="2" s="1"/>
  <c r="D24" i="2"/>
  <c r="E24" i="2" s="1"/>
  <c r="D21" i="2"/>
  <c r="E21" i="2" s="1"/>
  <c r="E14" i="2"/>
  <c r="E13" i="2" s="1"/>
  <c r="D13" i="2" l="1"/>
  <c r="E15" i="2" l="1"/>
  <c r="D15" i="2"/>
  <c r="C17" i="2" l="1"/>
  <c r="E17" i="2" l="1"/>
  <c r="D17" i="2"/>
  <c r="E12" i="2" l="1"/>
  <c r="D12" i="2"/>
  <c r="C33" i="2"/>
  <c r="C27" i="2"/>
  <c r="D23" i="2" l="1"/>
  <c r="E23" i="2"/>
  <c r="E10" i="3" l="1"/>
  <c r="P5" i="3"/>
  <c r="F4" i="3" s="1"/>
  <c r="F10" i="3" s="1"/>
  <c r="Q5" i="3"/>
  <c r="G4" i="3" s="1"/>
  <c r="G10" i="3" s="1"/>
  <c r="O5" i="3"/>
  <c r="E4" i="3" s="1"/>
  <c r="K7" i="3"/>
  <c r="L7" i="3"/>
  <c r="J7" i="3"/>
  <c r="C16" i="3"/>
  <c r="B16" i="3"/>
  <c r="A16" i="3"/>
  <c r="D27" i="2" l="1"/>
  <c r="E27" i="2"/>
  <c r="D33" i="2" l="1"/>
  <c r="E33" i="2"/>
  <c r="E38" i="2" l="1"/>
  <c r="E22" i="2" s="1"/>
  <c r="D38" i="2"/>
  <c r="D22" i="2" s="1"/>
  <c r="C38" i="2"/>
  <c r="C22" i="2" s="1"/>
  <c r="C15" i="2" l="1"/>
  <c r="C12" i="2" l="1"/>
</calcChain>
</file>

<file path=xl/sharedStrings.xml><?xml version="1.0" encoding="utf-8"?>
<sst xmlns="http://schemas.openxmlformats.org/spreadsheetml/2006/main" count="140" uniqueCount="135">
  <si>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</si>
  <si>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</si>
  <si>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</si>
  <si>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</si>
  <si>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</si>
  <si>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</si>
  <si>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</si>
  <si>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</si>
  <si>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</si>
  <si>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</si>
  <si>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</si>
  <si>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 xml:space="preserve">Затраты на приобретение офисной мебели 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</si>
  <si>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</si>
  <si>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</si>
  <si>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</si>
  <si>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</si>
  <si>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</si>
  <si>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</si>
  <si>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</si>
  <si>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</si>
  <si>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</si>
  <si>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</si>
  <si>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</si>
  <si>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</si>
  <si>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</si>
  <si>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</si>
  <si>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</si>
  <si>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</si>
  <si>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</si>
  <si>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</si>
  <si>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</si>
  <si>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</si>
  <si>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</si>
  <si>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</si>
  <si>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</si>
  <si>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Затраты по техническому обслуживанию и ремонту систем кондиционирования</t>
  </si>
  <si>
    <t>1.1</t>
  </si>
  <si>
    <t>1.1.1</t>
  </si>
  <si>
    <t>1.2</t>
  </si>
  <si>
    <t>1.2.1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</si>
  <si>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</si>
  <si>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</si>
  <si>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</si>
  <si>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</si>
  <si>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</si>
  <si>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</si>
  <si>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</si>
  <si>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</si>
  <si>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</si>
  <si>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</si>
  <si>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</si>
  <si>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</si>
  <si>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</si>
  <si>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</si>
  <si>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</si>
  <si>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</si>
  <si>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</si>
  <si>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</si>
  <si>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</si>
  <si>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</si>
  <si>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</si>
  <si>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</si>
  <si>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хозяйственных товаров 
и принадлежностей</t>
  </si>
  <si>
    <t>Затраты на информационно-коммуникационные технологии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</si>
  <si>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</si>
  <si>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</si>
  <si>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</si>
  <si>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</si>
  <si>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</si>
  <si>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</si>
  <si>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</si>
  <si>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других запасных частей 
для вычислительной техники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</si>
  <si>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</si>
  <si>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</si>
  <si>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</si>
  <si>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</si>
  <si>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>Нормативные затраты на приобретение электротоваров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</si>
  <si>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 xml:space="preserve">                                                                                                      </t>
  </si>
  <si>
    <t xml:space="preserve">                            Приложение № 3
                                                     к распоряжению администрации 
                                                                    Центрального района Санкт-Петербурга 
                                                   от   __________ № __________</t>
  </si>
  <si>
    <t xml:space="preserve">НОРМАТИВНЫЕ ЗАТРАТЫ </t>
  </si>
  <si>
    <t>Затраты на оплату услуг 
по сопровождению программного обеспечения 
и приобретению простых (неисключительных) лицензий 
на использование программного обеспечения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</si>
  <si>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</si>
  <si>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</si>
  <si>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</si>
  <si>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приобретение материальных запасов, 
не отнесенные к затратам, указанным в подпунктах 
«а» - «ж» пункта 6 Общих правил</t>
  </si>
  <si>
    <t>2025 год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</si>
  <si>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 
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</si>
  <si>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учреждения
</t>
  </si>
  <si>
    <t xml:space="preserve">НЗ  = Чр × Нц,
где:
НЗ - нормативные затраты на приобретение лицензий на использование программного обеспечения 
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
и приобретение услуг по сопровождению программного обеспечения </t>
  </si>
  <si>
    <t>2.1.2</t>
  </si>
  <si>
    <t>Затраты на оплату услуг по вывозу и утилизации имущества</t>
  </si>
  <si>
    <t>НЗ им = Нц им х Ким,
где:
НЗ им – нормативные затраты на оплату услуг по вывозу и утилизации оборудования;
Нц им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 с учетом показателей индекса роста потребительских цен; 
Ким - количество утилизируемого имущества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</si>
  <si>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и ремонту систем кондиционирования;
затраты на оплату услуг по вывозу и утилизации имущества;
затраты на проведение капитального ремонта помещений</t>
  </si>
  <si>
    <t>2.1.3</t>
  </si>
  <si>
    <t>Затраты на приобретение систем кондиционирования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</si>
  <si>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  с учетом показателей индекса роста потребительских цен
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</si>
  <si>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 работы на заправку картриджей, тонеров, определяемый  в соответствии 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картриджей, тонеров подлежащих заправке</t>
  </si>
  <si>
    <t>Затраты на оказание услуг по обеспечению питьевого режима</t>
  </si>
  <si>
    <t>2.3.4</t>
  </si>
  <si>
    <t xml:space="preserve">Расчет нормативных затрат на приобретение прочих работ и услуг осуществляется исходя 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оформлению и доставке периодических печатных изданий; 
затраты на оказание услуг по обеспечению питьевого режима;
затраты на оплату переплетных услуг </t>
  </si>
  <si>
    <t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калькуляторов;
затраты на приобретение бытовой техники;
затраты на приобретение систем кондиционирования</t>
  </si>
  <si>
    <t>Затраты на приобретение носителей информации</t>
  </si>
  <si>
    <t>НЗ мон =  ∑ Нк из i × Нц из i, 
i =1, 
где: 
НЗ мон - нормативные затраты, относящиеся к затратам на приобретение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</t>
  </si>
  <si>
    <t>2026 год</t>
  </si>
  <si>
    <t>Затраты на приобретение средств индивидуальной защиты</t>
  </si>
  <si>
    <t>Нормативные затраты на приобретение средств индивидуальной защиты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</si>
  <si>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проведение капитального и текущего ремонта помещений</t>
  </si>
  <si>
    <t>2027 год</t>
  </si>
  <si>
    <t>на обеспечение функций СПб ГКУ "Централизованная бухгалтерия администрации Центрального района Санкт-Петербурга" 
на 2025 год и на плановый период 2026 и 2027 годов</t>
  </si>
  <si>
    <t>Затраты на приобретение прочих основных средств</t>
  </si>
  <si>
    <t>1.2.2</t>
  </si>
  <si>
    <t>1.2.3</t>
  </si>
  <si>
    <t>1,0461</t>
  </si>
  <si>
    <t>1,0391</t>
  </si>
  <si>
    <t>1,0390</t>
  </si>
  <si>
    <t>Расчет затрат на информационно-коммуникационные технологии осуществляется исходя 
из следующих групп затрат: 
затраты на содержание имущества;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</si>
  <si>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 xml:space="preserve">Расчет нормативных затрат на приобретение прочих работ и услуг, не относящихся к затратам
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</si>
  <si>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Затраты на приобретение прочих работ и услуг, 
не относящихся 
к затратам на услуги связи, аренду и содержание имущества</t>
  </si>
  <si>
    <t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«а» - «ж» пункта 6 Общих правил, осуществляется исходя 
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
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</si>
  <si>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Нормативные затраты на проведение капитального ремонта помещений определяются на основании сметного расчета стоимости капитального ремонта, разработанного в текущем уровне цен 
в соответствии со статьей 22 Закона 44-ФЗ с учетом показателей индекса роста потребительских цен</t>
  </si>
  <si>
    <t>Затраты на приобретение прочих работ и услуг, 
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</si>
  <si>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Затраты на оплату услуг 
по проведению специальной оценки условий труда 
на рабочих местах сотрудников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</si>
  <si>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
с положениями статьи 22 Закона 44-ФЗ и рассчитываемый  в ценах на текущий финансовый год  
с учетом показателей индекса роста потребительских цен</t>
  </si>
  <si>
    <t xml:space="preserve">НЗ бр = ∑Нк ×  ∑Нц, 
где: 
НЗ бр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
44-ФЗ и рассчитываемый  в ценах на текущий финансовый год с учетом показателей индекса роста потребительских цен
</t>
  </si>
  <si>
    <t>Нормативные затраты на приобретение прочих основных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</si>
  <si>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</si>
  <si>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
</t>
  </si>
  <si>
    <t>Нормативные затраты на приобретение мягкого инвентаря определяются в соответствии 
с положениями статьи 22 Закона 44-ФЗ и рассчитываются в ценах на текущий финансовый год 
с учетом показателей индекса роста потребительских цен</t>
  </si>
  <si>
    <t>Нормативные затраты на приобретение светодиодных ламп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</si>
  <si>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>Затраты на приобретение деталей для содержания принтеров, могофункциональных устройств        и копировальных аппаратов (оргтехники)</t>
  </si>
  <si>
    <t>Прочие затраты (в том числе затраты на закупку товаров, работ          и услуг 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</si>
  <si>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
в соответствии с положениями статьи 22 Закона 44-ФЗ и рассчитываемый  в ценах 
на текущий финансовый год с учетом показателей индекса роста потребительских цен</t>
  </si>
  <si>
    <t xml:space="preserve">Расчет нормативных затрат на приобретение материальных запасов, не отнесенных к затратам, указанным 
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инвентаря; 
затраты на приобретение светодидных ламп
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</si>
  <si>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 
44-ФЗ и рассчитываемый  в ценах на текущий финансовый год  с учетом показателей индекса роста потребительских цен
</t>
  </si>
  <si>
    <t>НЗ пр = Нц пр × М пр,                           
где: 
НЗ пр – нормативные затратына оказание услуг по обеспечению питьевого режима; 
Нц пр – норматив цены на оказание услуг по обеспечению питьевого режима, определяемый 
в соответствии с положениями статьи 22 Закона 44-ФЗ и рассчитываемый  в ценах на текущий финансовый год 
с учетом показателей индекса роста потребительских цен;
М пр – норматив количества месяцев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</si>
</sst>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;@"/>
    <numFmt numFmtId="165" formatCode="#,##0.0"/>
    <numFmt numFmtId="166" formatCode="0.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000001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4" fontId="0" fillId="0" borderId="0" xfId="0" applyNumberFormat="1"/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/>
    <xf numFmtId="0" fontId="0" fillId="0" borderId="0" xfId="0" applyFill="1"/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3" fontId="4" fillId="0" borderId="5" xfId="0" applyNumberFormat="1" applyFont="1" applyFill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6" fontId="0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167" fontId="0" fillId="0" borderId="0" xfId="0" applyNumberFormat="1" applyFont="1" applyFill="1" applyAlignment="1">
      <alignment vertical="center"/>
    </xf>
    <xf numFmtId="0" fontId="4" fillId="0" borderId="12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/>
    <xf numFmtId="0" fontId="6" fillId="0" borderId="6" xfId="0" applyNumberFormat="1" applyFont="1" applyBorder="1" applyAlignment="1"/>
    <xf numFmtId="4" fontId="5" fillId="0" borderId="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topLeftCell="A30" zoomScale="70" zoomScaleNormal="70" workbookViewId="0">
      <selection activeCell="F32" sqref="F32"/>
    </sheetView>
  </sheetViews>
  <sheetFormatPr defaultColWidth="8.85546875" defaultRowHeight="15" x14ac:dyDescent="0.25"/>
  <cols>
    <col min="1" max="1" width="8.28515625" style="55" customWidth="1"/>
    <col min="2" max="2" width="33.42578125" style="56" customWidth="1"/>
    <col min="3" max="3" width="12.42578125" style="55" customWidth="1"/>
    <col min="4" max="4" width="12.140625" style="55" customWidth="1"/>
    <col min="5" max="5" width="12.42578125" style="55" customWidth="1"/>
    <col min="6" max="6" width="103.5703125" style="57" customWidth="1"/>
    <col min="7" max="7" width="6.7109375" style="32" customWidth="1"/>
    <col min="8" max="16384" width="8.85546875" style="32"/>
  </cols>
  <sheetData>
    <row r="1" spans="1:10" ht="69" customHeight="1" x14ac:dyDescent="0.25">
      <c r="A1" s="43"/>
      <c r="B1" s="44"/>
      <c r="C1" s="43"/>
      <c r="D1" s="43"/>
      <c r="E1" s="43"/>
      <c r="F1" s="45" t="s">
        <v>78</v>
      </c>
    </row>
    <row r="2" spans="1:10" ht="15" customHeight="1" x14ac:dyDescent="0.25">
      <c r="A2" s="43"/>
      <c r="B2" s="44"/>
      <c r="C2" s="43"/>
      <c r="D2" s="43"/>
      <c r="E2" s="43"/>
      <c r="F2" s="46" t="s">
        <v>77</v>
      </c>
    </row>
    <row r="3" spans="1:10" ht="36.75" customHeight="1" x14ac:dyDescent="0.25">
      <c r="A3" s="43"/>
      <c r="B3" s="44"/>
      <c r="C3" s="43"/>
      <c r="D3" s="43"/>
      <c r="E3" s="43"/>
      <c r="F3" s="47"/>
    </row>
    <row r="4" spans="1:10" ht="21.75" customHeight="1" x14ac:dyDescent="0.25">
      <c r="A4" s="64" t="s">
        <v>79</v>
      </c>
      <c r="B4" s="64"/>
      <c r="C4" s="64"/>
      <c r="D4" s="64"/>
      <c r="E4" s="64"/>
      <c r="F4" s="64"/>
    </row>
    <row r="5" spans="1:10" ht="34.5" customHeight="1" x14ac:dyDescent="0.25">
      <c r="A5" s="65" t="s">
        <v>108</v>
      </c>
      <c r="B5" s="64"/>
      <c r="C5" s="64"/>
      <c r="D5" s="64"/>
      <c r="E5" s="64"/>
      <c r="F5" s="64"/>
    </row>
    <row r="6" spans="1:10" ht="18" customHeight="1" x14ac:dyDescent="0.25">
      <c r="A6" s="43"/>
      <c r="B6" s="44"/>
      <c r="C6" s="61" t="s">
        <v>112</v>
      </c>
      <c r="D6" s="61" t="s">
        <v>113</v>
      </c>
      <c r="E6" s="61" t="s">
        <v>114</v>
      </c>
      <c r="F6" s="48"/>
    </row>
    <row r="7" spans="1:10" ht="31.5" customHeight="1" x14ac:dyDescent="0.25">
      <c r="A7" s="66" t="s">
        <v>0</v>
      </c>
      <c r="B7" s="66" t="s">
        <v>1</v>
      </c>
      <c r="C7" s="66" t="s">
        <v>2</v>
      </c>
      <c r="D7" s="66"/>
      <c r="E7" s="66"/>
      <c r="F7" s="67" t="s">
        <v>4</v>
      </c>
    </row>
    <row r="8" spans="1:10" ht="15.75" x14ac:dyDescent="0.25">
      <c r="A8" s="66"/>
      <c r="B8" s="66"/>
      <c r="C8" s="66" t="s">
        <v>3</v>
      </c>
      <c r="D8" s="66"/>
      <c r="E8" s="66"/>
      <c r="F8" s="67"/>
    </row>
    <row r="9" spans="1:10" ht="15.75" x14ac:dyDescent="0.25">
      <c r="A9" s="66"/>
      <c r="B9" s="66"/>
      <c r="C9" s="66"/>
      <c r="D9" s="66"/>
      <c r="E9" s="66"/>
      <c r="F9" s="67"/>
    </row>
    <row r="10" spans="1:10" ht="15.75" x14ac:dyDescent="0.25">
      <c r="A10" s="66"/>
      <c r="B10" s="66"/>
      <c r="C10" s="58" t="s">
        <v>85</v>
      </c>
      <c r="D10" s="58" t="s">
        <v>103</v>
      </c>
      <c r="E10" s="58" t="s">
        <v>107</v>
      </c>
      <c r="F10" s="67"/>
    </row>
    <row r="11" spans="1:10" ht="15.75" x14ac:dyDescent="0.25">
      <c r="A11" s="58">
        <v>1</v>
      </c>
      <c r="B11" s="58">
        <v>2</v>
      </c>
      <c r="C11" s="58">
        <v>3</v>
      </c>
      <c r="D11" s="58">
        <v>4</v>
      </c>
      <c r="E11" s="58">
        <v>5</v>
      </c>
      <c r="F11" s="59">
        <v>6</v>
      </c>
    </row>
    <row r="12" spans="1:10" ht="120" customHeight="1" x14ac:dyDescent="0.25">
      <c r="A12" s="38">
        <v>1</v>
      </c>
      <c r="B12" s="37" t="s">
        <v>63</v>
      </c>
      <c r="C12" s="40">
        <f>C15+C17+C13</f>
        <v>4093531</v>
      </c>
      <c r="D12" s="40">
        <f>D15+D17+D13</f>
        <v>4253610</v>
      </c>
      <c r="E12" s="40">
        <f>E15+E17+E13</f>
        <v>4419505</v>
      </c>
      <c r="F12" s="30" t="s">
        <v>115</v>
      </c>
      <c r="I12" s="60"/>
      <c r="J12" s="60"/>
    </row>
    <row r="13" spans="1:10" ht="81.75" hidden="1" customHeight="1" x14ac:dyDescent="0.25">
      <c r="A13" s="38" t="s">
        <v>36</v>
      </c>
      <c r="B13" s="39" t="s">
        <v>6</v>
      </c>
      <c r="C13" s="40">
        <f>C14</f>
        <v>0</v>
      </c>
      <c r="D13" s="40">
        <f t="shared" ref="D13:E13" si="0">D14</f>
        <v>0</v>
      </c>
      <c r="E13" s="40">
        <f t="shared" si="0"/>
        <v>0</v>
      </c>
      <c r="F13" s="41" t="s">
        <v>69</v>
      </c>
    </row>
    <row r="14" spans="1:10" ht="149.25" hidden="1" customHeight="1" x14ac:dyDescent="0.25">
      <c r="A14" s="38" t="s">
        <v>37</v>
      </c>
      <c r="B14" s="39" t="s">
        <v>68</v>
      </c>
      <c r="C14" s="40">
        <v>0</v>
      </c>
      <c r="D14" s="40">
        <f>ROUND(C14*D6,0)</f>
        <v>0</v>
      </c>
      <c r="E14" s="40">
        <f>ROUND(D14*E6,0)</f>
        <v>0</v>
      </c>
      <c r="F14" s="41" t="s">
        <v>96</v>
      </c>
      <c r="J14" s="60"/>
    </row>
    <row r="15" spans="1:10" ht="81" customHeight="1" x14ac:dyDescent="0.25">
      <c r="A15" s="38" t="s">
        <v>36</v>
      </c>
      <c r="B15" s="39" t="s">
        <v>117</v>
      </c>
      <c r="C15" s="40">
        <f t="shared" ref="C15:E15" si="1">SUM(C16)</f>
        <v>320370</v>
      </c>
      <c r="D15" s="40">
        <f t="shared" si="1"/>
        <v>332901</v>
      </c>
      <c r="E15" s="40">
        <f t="shared" si="1"/>
        <v>345887</v>
      </c>
      <c r="F15" s="41" t="s">
        <v>116</v>
      </c>
      <c r="J15" s="60"/>
    </row>
    <row r="16" spans="1:10" ht="113.25" customHeight="1" x14ac:dyDescent="0.25">
      <c r="A16" s="38" t="s">
        <v>37</v>
      </c>
      <c r="B16" s="39" t="s">
        <v>80</v>
      </c>
      <c r="C16" s="40">
        <f>ROUND(2272.13*141,0)</f>
        <v>320370</v>
      </c>
      <c r="D16" s="40">
        <f>ROUND(2361*141,0)</f>
        <v>332901</v>
      </c>
      <c r="E16" s="40">
        <f>ROUND(2453.1*141,0)</f>
        <v>345887</v>
      </c>
      <c r="F16" s="31" t="s">
        <v>88</v>
      </c>
      <c r="J16" s="60"/>
    </row>
    <row r="17" spans="1:10" ht="120" customHeight="1" x14ac:dyDescent="0.25">
      <c r="A17" s="38" t="s">
        <v>38</v>
      </c>
      <c r="B17" s="39" t="s">
        <v>70</v>
      </c>
      <c r="C17" s="40">
        <f>SUM(C18:C21)</f>
        <v>3773161</v>
      </c>
      <c r="D17" s="40">
        <f t="shared" ref="D17:E17" si="2">SUM(D18:D21)</f>
        <v>3920709</v>
      </c>
      <c r="E17" s="40">
        <f t="shared" si="2"/>
        <v>4073618</v>
      </c>
      <c r="F17" s="41" t="s">
        <v>61</v>
      </c>
      <c r="J17" s="60"/>
    </row>
    <row r="18" spans="1:10" ht="139.5" customHeight="1" x14ac:dyDescent="0.25">
      <c r="A18" s="38" t="s">
        <v>39</v>
      </c>
      <c r="B18" s="39" t="s">
        <v>129</v>
      </c>
      <c r="C18" s="40">
        <f>ROUND(1738252.8*150%,0)</f>
        <v>2607379</v>
      </c>
      <c r="D18" s="40">
        <f>ROUND(1806229.7*150%,0)</f>
        <v>2709345</v>
      </c>
      <c r="E18" s="40">
        <f>ROUND(1876674.32*150%,0)</f>
        <v>2815011</v>
      </c>
      <c r="F18" s="41" t="s">
        <v>86</v>
      </c>
      <c r="J18" s="62"/>
    </row>
    <row r="19" spans="1:10" ht="90" customHeight="1" x14ac:dyDescent="0.25">
      <c r="A19" s="38" t="s">
        <v>110</v>
      </c>
      <c r="B19" s="39" t="s">
        <v>71</v>
      </c>
      <c r="C19" s="40">
        <f>ROUND(13730896.67*1%,0)</f>
        <v>137309</v>
      </c>
      <c r="D19" s="40">
        <f>ROUND(C19*D6,0)</f>
        <v>142678</v>
      </c>
      <c r="E19" s="40">
        <f>ROUND(D19*E6,0)</f>
        <v>148242</v>
      </c>
      <c r="F19" s="41" t="s">
        <v>87</v>
      </c>
      <c r="J19" s="60"/>
    </row>
    <row r="20" spans="1:10" ht="131.25" hidden="1" customHeight="1" x14ac:dyDescent="0.25">
      <c r="A20" s="37" t="s">
        <v>40</v>
      </c>
      <c r="B20" s="30" t="s">
        <v>101</v>
      </c>
      <c r="C20" s="36"/>
      <c r="D20" s="40"/>
      <c r="E20" s="40"/>
      <c r="F20" s="31" t="s">
        <v>102</v>
      </c>
      <c r="J20" s="60"/>
    </row>
    <row r="21" spans="1:10" ht="129" customHeight="1" x14ac:dyDescent="0.25">
      <c r="A21" s="38" t="s">
        <v>111</v>
      </c>
      <c r="B21" s="37" t="s">
        <v>72</v>
      </c>
      <c r="C21" s="40">
        <f>ROUND(983150*C6,0)</f>
        <v>1028473</v>
      </c>
      <c r="D21" s="40">
        <f>ROUND(C21*D6,0)</f>
        <v>1068686</v>
      </c>
      <c r="E21" s="40">
        <f>ROUND(D21*E6,0)</f>
        <v>1110365</v>
      </c>
      <c r="F21" s="42" t="s">
        <v>95</v>
      </c>
      <c r="J21" s="60"/>
    </row>
    <row r="22" spans="1:10" ht="213" customHeight="1" x14ac:dyDescent="0.25">
      <c r="A22" s="38">
        <v>2</v>
      </c>
      <c r="B22" s="37" t="s">
        <v>130</v>
      </c>
      <c r="C22" s="40">
        <f>C23+C27+C33+C38</f>
        <v>26083266</v>
      </c>
      <c r="D22" s="40">
        <f>D23+D27+D33+D38</f>
        <v>27102713.199999999</v>
      </c>
      <c r="E22" s="40">
        <f>E23+E27+E33+E38</f>
        <v>9880099.8000000007</v>
      </c>
      <c r="F22" s="30" t="s">
        <v>118</v>
      </c>
      <c r="J22" s="60"/>
    </row>
    <row r="23" spans="1:10" ht="82.5" customHeight="1" x14ac:dyDescent="0.25">
      <c r="A23" s="38" t="s">
        <v>41</v>
      </c>
      <c r="B23" s="37" t="s">
        <v>6</v>
      </c>
      <c r="C23" s="49">
        <f>SUM(C24:C26)</f>
        <v>17364768</v>
      </c>
      <c r="D23" s="49">
        <f t="shared" ref="D23:E23" si="3">SUM(D24:D26)</f>
        <v>18043730</v>
      </c>
      <c r="E23" s="49">
        <f t="shared" si="3"/>
        <v>329772</v>
      </c>
      <c r="F23" s="50" t="s">
        <v>92</v>
      </c>
      <c r="J23" s="60"/>
    </row>
    <row r="24" spans="1:10" ht="132" customHeight="1" x14ac:dyDescent="0.25">
      <c r="A24" s="38" t="s">
        <v>42</v>
      </c>
      <c r="B24" s="37" t="s">
        <v>35</v>
      </c>
      <c r="C24" s="40">
        <f>ROUND(160990*C6,0)</f>
        <v>168412</v>
      </c>
      <c r="D24" s="40">
        <f>ROUND(C24*D6,0)</f>
        <v>174997</v>
      </c>
      <c r="E24" s="40">
        <f>ROUND(D24*E6,0)</f>
        <v>181822</v>
      </c>
      <c r="F24" s="30" t="s">
        <v>131</v>
      </c>
      <c r="J24" s="60"/>
    </row>
    <row r="25" spans="1:10" s="34" customFormat="1" ht="115.5" customHeight="1" x14ac:dyDescent="0.25">
      <c r="A25" s="38" t="s">
        <v>89</v>
      </c>
      <c r="B25" s="30" t="s">
        <v>90</v>
      </c>
      <c r="C25" s="40">
        <f>ROUND(131000*C6,0)</f>
        <v>137039</v>
      </c>
      <c r="D25" s="40">
        <f>ROUND(C25*D6,0)</f>
        <v>142397</v>
      </c>
      <c r="E25" s="40">
        <f>ROUND(D25*E6,0)</f>
        <v>147950</v>
      </c>
      <c r="F25" s="30" t="s">
        <v>91</v>
      </c>
      <c r="G25" s="33"/>
      <c r="H25" s="32"/>
      <c r="I25" s="32"/>
      <c r="J25" s="60"/>
    </row>
    <row r="26" spans="1:10" s="34" customFormat="1" ht="58.5" customHeight="1" x14ac:dyDescent="0.25">
      <c r="A26" s="38" t="s">
        <v>93</v>
      </c>
      <c r="B26" s="30" t="s">
        <v>106</v>
      </c>
      <c r="C26" s="40">
        <f>ROUND(16307539.46*C6,0)</f>
        <v>17059317</v>
      </c>
      <c r="D26" s="40">
        <f>ROUND(C26*D6,0)</f>
        <v>17726336</v>
      </c>
      <c r="E26" s="40">
        <v>0</v>
      </c>
      <c r="F26" s="30" t="s">
        <v>119</v>
      </c>
      <c r="H26" s="32"/>
      <c r="I26" s="32"/>
      <c r="J26" s="60"/>
    </row>
    <row r="27" spans="1:10" ht="258.75" customHeight="1" x14ac:dyDescent="0.25">
      <c r="A27" s="38" t="s">
        <v>43</v>
      </c>
      <c r="B27" s="50" t="s">
        <v>120</v>
      </c>
      <c r="C27" s="49">
        <f>SUM(C28:C32)</f>
        <v>878266</v>
      </c>
      <c r="D27" s="49">
        <f>SUM(D28:D32)</f>
        <v>912658.2</v>
      </c>
      <c r="E27" s="49">
        <f>SUM(E28:E32)</f>
        <v>1087150.8</v>
      </c>
      <c r="F27" s="30" t="s">
        <v>99</v>
      </c>
      <c r="J27" s="60"/>
    </row>
    <row r="28" spans="1:10" ht="83.25" customHeight="1" x14ac:dyDescent="0.25">
      <c r="A28" s="38" t="s">
        <v>44</v>
      </c>
      <c r="B28" s="37" t="s">
        <v>121</v>
      </c>
      <c r="C28" s="40">
        <v>0</v>
      </c>
      <c r="D28" s="40">
        <v>0</v>
      </c>
      <c r="E28" s="40">
        <f>ROUND(123000*C6*D6*E6,0)</f>
        <v>138916</v>
      </c>
      <c r="F28" s="30" t="s">
        <v>81</v>
      </c>
      <c r="J28" s="60"/>
    </row>
    <row r="29" spans="1:10" ht="117" customHeight="1" x14ac:dyDescent="0.25">
      <c r="A29" s="38" t="s">
        <v>45</v>
      </c>
      <c r="B29" s="37" t="s">
        <v>73</v>
      </c>
      <c r="C29" s="40">
        <f>ROUND((12333.33+193200+88000+22000)*C6,0)</f>
        <v>330079</v>
      </c>
      <c r="D29" s="40">
        <f>ROUND(C29*D6,0)</f>
        <v>342985</v>
      </c>
      <c r="E29" s="40">
        <f>ROUND(D29*E6,0)</f>
        <v>356361</v>
      </c>
      <c r="F29" s="30" t="s">
        <v>122</v>
      </c>
      <c r="J29" s="60"/>
    </row>
    <row r="30" spans="1:10" ht="102.75" customHeight="1" x14ac:dyDescent="0.25">
      <c r="A30" s="38" t="s">
        <v>46</v>
      </c>
      <c r="B30" s="37" t="s">
        <v>74</v>
      </c>
      <c r="C30" s="40">
        <f>141*168*12</f>
        <v>284256</v>
      </c>
      <c r="D30" s="40">
        <f>141*174.6*12</f>
        <v>295423.19999999995</v>
      </c>
      <c r="E30" s="40">
        <f>141*181.4*12</f>
        <v>306928.80000000005</v>
      </c>
      <c r="F30" s="30" t="s">
        <v>82</v>
      </c>
      <c r="J30" s="60"/>
    </row>
    <row r="31" spans="1:10" ht="136.5" customHeight="1" x14ac:dyDescent="0.25">
      <c r="A31" s="38" t="s">
        <v>47</v>
      </c>
      <c r="B31" s="37" t="s">
        <v>97</v>
      </c>
      <c r="C31" s="40">
        <f>ROUND(136800*C6,0)</f>
        <v>143106</v>
      </c>
      <c r="D31" s="40">
        <f>ROUND(C31*D6,0)</f>
        <v>148701</v>
      </c>
      <c r="E31" s="40">
        <f>ROUND(D31*E6,0)</f>
        <v>154500</v>
      </c>
      <c r="F31" s="30" t="s">
        <v>134</v>
      </c>
      <c r="J31" s="60"/>
    </row>
    <row r="32" spans="1:10" ht="116.25" customHeight="1" x14ac:dyDescent="0.25">
      <c r="A32" s="38" t="s">
        <v>48</v>
      </c>
      <c r="B32" s="37" t="s">
        <v>29</v>
      </c>
      <c r="C32" s="40">
        <f>ROUND(115500*C6,0)</f>
        <v>120825</v>
      </c>
      <c r="D32" s="40">
        <f>ROUND(C32*D6,0)</f>
        <v>125549</v>
      </c>
      <c r="E32" s="40">
        <f>ROUND(D32*E6,0)</f>
        <v>130445</v>
      </c>
      <c r="F32" s="30" t="s">
        <v>123</v>
      </c>
      <c r="J32" s="60"/>
    </row>
    <row r="33" spans="1:10" ht="97.5" customHeight="1" x14ac:dyDescent="0.25">
      <c r="A33" s="38" t="s">
        <v>49</v>
      </c>
      <c r="B33" s="37" t="s">
        <v>7</v>
      </c>
      <c r="C33" s="40">
        <f>SUM(C34:C37)</f>
        <v>4063016</v>
      </c>
      <c r="D33" s="40">
        <f>SUM(D34:D37)</f>
        <v>4221882</v>
      </c>
      <c r="E33" s="40">
        <f>SUM(E34:E37)</f>
        <v>4386536</v>
      </c>
      <c r="F33" s="30" t="s">
        <v>100</v>
      </c>
      <c r="J33" s="60"/>
    </row>
    <row r="34" spans="1:10" ht="122.25" customHeight="1" x14ac:dyDescent="0.25">
      <c r="A34" s="38" t="s">
        <v>50</v>
      </c>
      <c r="B34" s="37" t="s">
        <v>11</v>
      </c>
      <c r="C34" s="40">
        <f>ROUND(52285.89*(141/5+30),0)</f>
        <v>3043039</v>
      </c>
      <c r="D34" s="40">
        <f>ROUND(54330.3*(141/5+30),0)</f>
        <v>3162023</v>
      </c>
      <c r="E34" s="40">
        <f>ROUND(56449.2*(141/5+30),0)</f>
        <v>3285343</v>
      </c>
      <c r="F34" s="30" t="s">
        <v>64</v>
      </c>
      <c r="J34" s="60"/>
    </row>
    <row r="35" spans="1:10" ht="52.5" customHeight="1" x14ac:dyDescent="0.25">
      <c r="A35" s="38" t="s">
        <v>51</v>
      </c>
      <c r="B35" s="37" t="s">
        <v>30</v>
      </c>
      <c r="C35" s="40">
        <f>ROUND(55939.9*C6,0)</f>
        <v>58519</v>
      </c>
      <c r="D35" s="40">
        <f>ROUND(C35*D6,0)</f>
        <v>60807</v>
      </c>
      <c r="E35" s="40">
        <f>ROUND(D35*E6,0)</f>
        <v>63178</v>
      </c>
      <c r="F35" s="30" t="s">
        <v>83</v>
      </c>
      <c r="J35" s="60"/>
    </row>
    <row r="36" spans="1:10" ht="132" customHeight="1" x14ac:dyDescent="0.25">
      <c r="A36" s="38" t="s">
        <v>52</v>
      </c>
      <c r="B36" s="30" t="s">
        <v>94</v>
      </c>
      <c r="C36" s="40">
        <f>ROUND(341092*C6,0)</f>
        <v>356816</v>
      </c>
      <c r="D36" s="40">
        <f>ROUND(C36*D6,0)</f>
        <v>370768</v>
      </c>
      <c r="E36" s="40">
        <f>ROUND(D36*E6,0)</f>
        <v>385228</v>
      </c>
      <c r="F36" s="30" t="s">
        <v>126</v>
      </c>
      <c r="J36" s="60"/>
    </row>
    <row r="37" spans="1:10" ht="52.5" customHeight="1" x14ac:dyDescent="0.25">
      <c r="A37" s="38" t="s">
        <v>98</v>
      </c>
      <c r="B37" s="35" t="s">
        <v>109</v>
      </c>
      <c r="C37" s="36">
        <f>ROUND((76908.99+501087)*C6,0)</f>
        <v>604642</v>
      </c>
      <c r="D37" s="36">
        <f>ROUND((C37)*D6,0)</f>
        <v>628284</v>
      </c>
      <c r="E37" s="40">
        <f>ROUND(D37*E6,0)</f>
        <v>652787</v>
      </c>
      <c r="F37" s="30" t="s">
        <v>124</v>
      </c>
      <c r="J37" s="60"/>
    </row>
    <row r="38" spans="1:10" ht="168" customHeight="1" x14ac:dyDescent="0.25">
      <c r="A38" s="38" t="s">
        <v>53</v>
      </c>
      <c r="B38" s="37" t="s">
        <v>84</v>
      </c>
      <c r="C38" s="40">
        <f>SUM(C39:C46)</f>
        <v>3777216</v>
      </c>
      <c r="D38" s="40">
        <f>SUM(D39:D46)</f>
        <v>3924443</v>
      </c>
      <c r="E38" s="40">
        <f>SUM(E39:E46)</f>
        <v>4076641</v>
      </c>
      <c r="F38" s="30" t="s">
        <v>132</v>
      </c>
      <c r="J38" s="60"/>
    </row>
    <row r="39" spans="1:10" ht="90" customHeight="1" x14ac:dyDescent="0.25">
      <c r="A39" s="38" t="s">
        <v>54</v>
      </c>
      <c r="B39" s="37" t="s">
        <v>8</v>
      </c>
      <c r="C39" s="40">
        <f>ROUND(141*19161,0)</f>
        <v>2701701</v>
      </c>
      <c r="D39" s="40">
        <f>ROUND(141*19910.2,0)</f>
        <v>2807338</v>
      </c>
      <c r="E39" s="40">
        <f>ROUND(141*20686.7,0)</f>
        <v>2916825</v>
      </c>
      <c r="F39" s="30" t="s">
        <v>65</v>
      </c>
      <c r="J39" s="60"/>
    </row>
    <row r="40" spans="1:10" ht="130.5" customHeight="1" x14ac:dyDescent="0.25">
      <c r="A40" s="38" t="s">
        <v>55</v>
      </c>
      <c r="B40" s="37" t="s">
        <v>66</v>
      </c>
      <c r="C40" s="40">
        <f>ROUND(510602.4*C6,0)</f>
        <v>534141</v>
      </c>
      <c r="D40" s="40">
        <f>ROUND(C40*D6,0)</f>
        <v>555026</v>
      </c>
      <c r="E40" s="40">
        <f>ROUND(D40*E6,0)</f>
        <v>576672</v>
      </c>
      <c r="F40" s="30" t="s">
        <v>133</v>
      </c>
      <c r="J40" s="60"/>
    </row>
    <row r="41" spans="1:10" ht="112.5" customHeight="1" x14ac:dyDescent="0.25">
      <c r="A41" s="38" t="s">
        <v>56</v>
      </c>
      <c r="B41" s="37" t="s">
        <v>62</v>
      </c>
      <c r="C41" s="40">
        <f>ROUND(16*1505.7*12,0)</f>
        <v>289094</v>
      </c>
      <c r="D41" s="40">
        <f>ROUND(16.6*1505.7*12,0)</f>
        <v>299935</v>
      </c>
      <c r="E41" s="40">
        <f>ROUND(17.2*1505.7*12,0)</f>
        <v>310776</v>
      </c>
      <c r="F41" s="30" t="s">
        <v>75</v>
      </c>
      <c r="J41" s="60"/>
    </row>
    <row r="42" spans="1:10" ht="54.75" customHeight="1" x14ac:dyDescent="0.25">
      <c r="A42" s="38" t="s">
        <v>57</v>
      </c>
      <c r="B42" s="37" t="s">
        <v>34</v>
      </c>
      <c r="C42" s="40">
        <f>ROUND(134124.46*C6,0)</f>
        <v>140308</v>
      </c>
      <c r="D42" s="40">
        <f>ROUND(C42*D6,0)</f>
        <v>145794</v>
      </c>
      <c r="E42" s="40">
        <f>ROUND(D42*E6,0)</f>
        <v>151480</v>
      </c>
      <c r="F42" s="30" t="s">
        <v>125</v>
      </c>
      <c r="J42" s="60"/>
    </row>
    <row r="43" spans="1:10" ht="55.5" customHeight="1" x14ac:dyDescent="0.25">
      <c r="A43" s="38" t="s">
        <v>58</v>
      </c>
      <c r="B43" s="37" t="s">
        <v>31</v>
      </c>
      <c r="C43" s="40">
        <f>ROUND(((4132.38*2)*C6),0)</f>
        <v>8646</v>
      </c>
      <c r="D43" s="40">
        <f>ROUND(C43*D6,0)</f>
        <v>8984</v>
      </c>
      <c r="E43" s="40">
        <f>ROUND(D43*E6,0)</f>
        <v>9334</v>
      </c>
      <c r="F43" s="30" t="s">
        <v>76</v>
      </c>
      <c r="J43" s="60"/>
    </row>
    <row r="44" spans="1:10" ht="51.75" customHeight="1" x14ac:dyDescent="0.25">
      <c r="A44" s="38" t="s">
        <v>59</v>
      </c>
      <c r="B44" s="37" t="s">
        <v>32</v>
      </c>
      <c r="C44" s="40">
        <f>ROUND(14523.4*C6,0)</f>
        <v>15193</v>
      </c>
      <c r="D44" s="40">
        <f>ROUND(C44*D6,0)</f>
        <v>15787</v>
      </c>
      <c r="E44" s="40">
        <f>ROUND(D44*E6,0)</f>
        <v>16403</v>
      </c>
      <c r="F44" s="30" t="s">
        <v>127</v>
      </c>
      <c r="J44" s="60"/>
    </row>
    <row r="45" spans="1:10" ht="53.25" hidden="1" customHeight="1" x14ac:dyDescent="0.25">
      <c r="A45" s="38" t="s">
        <v>60</v>
      </c>
      <c r="B45" s="37" t="s">
        <v>104</v>
      </c>
      <c r="C45" s="40"/>
      <c r="D45" s="40"/>
      <c r="E45" s="40"/>
      <c r="F45" s="30" t="s">
        <v>105</v>
      </c>
      <c r="J45" s="60"/>
    </row>
    <row r="46" spans="1:10" ht="53.25" customHeight="1" x14ac:dyDescent="0.25">
      <c r="A46" s="38" t="s">
        <v>60</v>
      </c>
      <c r="B46" s="37" t="s">
        <v>33</v>
      </c>
      <c r="C46" s="40">
        <f>ROUND((92513.56-4132.38*2)*C6,0)</f>
        <v>88133</v>
      </c>
      <c r="D46" s="40">
        <f>ROUND(C46*D6,0)</f>
        <v>91579</v>
      </c>
      <c r="E46" s="40">
        <f>ROUND(D46*E6,0)</f>
        <v>95151</v>
      </c>
      <c r="F46" s="30" t="s">
        <v>128</v>
      </c>
      <c r="J46" s="60"/>
    </row>
    <row r="47" spans="1:10" ht="97.5" customHeight="1" x14ac:dyDescent="0.25">
      <c r="A47" s="63" t="s">
        <v>67</v>
      </c>
      <c r="B47" s="63"/>
      <c r="C47" s="63"/>
      <c r="D47" s="63"/>
      <c r="E47" s="63"/>
      <c r="F47" s="63"/>
    </row>
    <row r="48" spans="1:10" x14ac:dyDescent="0.25">
      <c r="A48" s="51"/>
      <c r="B48" s="52"/>
      <c r="C48" s="53"/>
      <c r="D48" s="53"/>
      <c r="E48" s="53"/>
      <c r="F48" s="54"/>
    </row>
    <row r="49" spans="1:6" x14ac:dyDescent="0.25">
      <c r="A49" s="51"/>
      <c r="B49" s="52"/>
      <c r="C49" s="53"/>
      <c r="D49" s="53"/>
      <c r="E49" s="53"/>
      <c r="F49" s="54"/>
    </row>
    <row r="50" spans="1:6" x14ac:dyDescent="0.25">
      <c r="A50" s="51"/>
      <c r="B50" s="52"/>
      <c r="C50" s="53"/>
      <c r="D50" s="53"/>
      <c r="E50" s="53"/>
      <c r="F50" s="54"/>
    </row>
    <row r="51" spans="1:6" x14ac:dyDescent="0.25">
      <c r="A51" s="51"/>
      <c r="B51" s="52"/>
      <c r="C51" s="53"/>
      <c r="D51" s="53"/>
      <c r="E51" s="53"/>
      <c r="F51" s="54"/>
    </row>
    <row r="52" spans="1:6" x14ac:dyDescent="0.25">
      <c r="A52" s="51"/>
      <c r="B52" s="52"/>
      <c r="C52" s="53"/>
      <c r="D52" s="53"/>
      <c r="E52" s="53"/>
      <c r="F52" s="54"/>
    </row>
    <row r="53" spans="1:6" x14ac:dyDescent="0.25">
      <c r="A53" s="51"/>
      <c r="B53" s="52"/>
      <c r="C53" s="53"/>
      <c r="D53" s="53"/>
      <c r="E53" s="53"/>
      <c r="F53" s="54"/>
    </row>
    <row r="54" spans="1:6" x14ac:dyDescent="0.25">
      <c r="A54" s="51"/>
      <c r="B54" s="52"/>
      <c r="C54" s="53"/>
      <c r="D54" s="53"/>
      <c r="E54" s="53"/>
      <c r="F54" s="54"/>
    </row>
    <row r="55" spans="1:6" x14ac:dyDescent="0.25">
      <c r="A55" s="51"/>
      <c r="B55" s="52"/>
      <c r="C55" s="53"/>
      <c r="D55" s="53"/>
      <c r="E55" s="53"/>
      <c r="F55" s="54"/>
    </row>
    <row r="56" spans="1:6" x14ac:dyDescent="0.25">
      <c r="A56" s="51"/>
      <c r="B56" s="52"/>
      <c r="C56" s="53"/>
      <c r="D56" s="53"/>
      <c r="E56" s="53"/>
      <c r="F56" s="54"/>
    </row>
    <row r="57" spans="1:6" x14ac:dyDescent="0.25">
      <c r="A57" s="51"/>
      <c r="B57" s="52"/>
      <c r="C57" s="53"/>
      <c r="D57" s="53"/>
      <c r="E57" s="53"/>
      <c r="F57" s="54"/>
    </row>
    <row r="58" spans="1:6" x14ac:dyDescent="0.25">
      <c r="A58" s="51"/>
      <c r="B58" s="52"/>
      <c r="C58" s="53"/>
      <c r="D58" s="53"/>
      <c r="E58" s="53"/>
      <c r="F58" s="54"/>
    </row>
    <row r="59" spans="1:6" x14ac:dyDescent="0.25">
      <c r="A59" s="51"/>
      <c r="B59" s="52"/>
      <c r="C59" s="53"/>
      <c r="D59" s="53"/>
      <c r="E59" s="53"/>
      <c r="F59" s="54"/>
    </row>
    <row r="60" spans="1:6" x14ac:dyDescent="0.25">
      <c r="A60" s="51"/>
      <c r="B60" s="52"/>
      <c r="C60" s="53"/>
      <c r="D60" s="53"/>
      <c r="E60" s="53"/>
      <c r="F60" s="54"/>
    </row>
    <row r="61" spans="1:6" x14ac:dyDescent="0.25">
      <c r="A61" s="51"/>
      <c r="B61" s="52"/>
      <c r="C61" s="53"/>
      <c r="D61" s="53"/>
      <c r="E61" s="53"/>
      <c r="F61" s="54"/>
    </row>
    <row r="62" spans="1:6" x14ac:dyDescent="0.25">
      <c r="A62" s="51"/>
      <c r="B62" s="52"/>
      <c r="C62" s="53"/>
      <c r="D62" s="53"/>
      <c r="E62" s="53"/>
      <c r="F62" s="54"/>
    </row>
    <row r="63" spans="1:6" x14ac:dyDescent="0.25">
      <c r="A63" s="51"/>
      <c r="B63" s="52"/>
      <c r="C63" s="53"/>
      <c r="D63" s="53"/>
      <c r="E63" s="53"/>
      <c r="F63" s="54"/>
    </row>
    <row r="64" spans="1:6" x14ac:dyDescent="0.25">
      <c r="A64" s="51"/>
      <c r="B64" s="52"/>
      <c r="C64" s="53"/>
      <c r="D64" s="53"/>
      <c r="E64" s="53"/>
      <c r="F64" s="54"/>
    </row>
    <row r="65" spans="1:6" x14ac:dyDescent="0.25">
      <c r="A65" s="51"/>
      <c r="B65" s="52"/>
      <c r="C65" s="53"/>
      <c r="D65" s="53"/>
      <c r="E65" s="53"/>
      <c r="F65" s="54"/>
    </row>
    <row r="66" spans="1:6" x14ac:dyDescent="0.25">
      <c r="A66" s="51"/>
      <c r="B66" s="52"/>
      <c r="C66" s="53"/>
      <c r="D66" s="53"/>
      <c r="E66" s="53"/>
      <c r="F66" s="54"/>
    </row>
    <row r="67" spans="1:6" x14ac:dyDescent="0.25">
      <c r="A67" s="51"/>
      <c r="B67" s="52"/>
      <c r="C67" s="53"/>
      <c r="D67" s="53"/>
      <c r="E67" s="53"/>
      <c r="F67" s="54"/>
    </row>
    <row r="68" spans="1:6" x14ac:dyDescent="0.25">
      <c r="A68" s="51"/>
      <c r="B68" s="52"/>
      <c r="C68" s="53"/>
      <c r="D68" s="53"/>
      <c r="E68" s="53"/>
      <c r="F68" s="54"/>
    </row>
    <row r="69" spans="1:6" x14ac:dyDescent="0.25">
      <c r="A69" s="51"/>
      <c r="B69" s="52"/>
      <c r="C69" s="53"/>
      <c r="D69" s="53"/>
      <c r="E69" s="53"/>
      <c r="F69" s="54"/>
    </row>
    <row r="70" spans="1:6" x14ac:dyDescent="0.25">
      <c r="A70" s="51"/>
      <c r="B70" s="52"/>
      <c r="C70" s="53"/>
      <c r="D70" s="53"/>
      <c r="E70" s="53"/>
      <c r="F70" s="54"/>
    </row>
    <row r="71" spans="1:6" x14ac:dyDescent="0.25">
      <c r="A71" s="51"/>
      <c r="B71" s="52"/>
      <c r="C71" s="53"/>
      <c r="D71" s="53"/>
      <c r="E71" s="53"/>
      <c r="F71" s="54"/>
    </row>
    <row r="72" spans="1:6" x14ac:dyDescent="0.25">
      <c r="A72" s="51"/>
      <c r="B72" s="52"/>
      <c r="C72" s="53"/>
      <c r="D72" s="53"/>
      <c r="E72" s="53"/>
      <c r="F72" s="54"/>
    </row>
    <row r="73" spans="1:6" x14ac:dyDescent="0.25">
      <c r="A73" s="51"/>
      <c r="B73" s="52"/>
      <c r="C73" s="53"/>
      <c r="D73" s="53"/>
      <c r="E73" s="53"/>
      <c r="F73" s="54"/>
    </row>
    <row r="74" spans="1:6" x14ac:dyDescent="0.25">
      <c r="A74" s="51"/>
      <c r="B74" s="52"/>
      <c r="C74" s="53"/>
      <c r="D74" s="53"/>
      <c r="E74" s="53"/>
      <c r="F74" s="54"/>
    </row>
    <row r="75" spans="1:6" x14ac:dyDescent="0.25">
      <c r="A75" s="51"/>
      <c r="B75" s="52"/>
      <c r="C75" s="53"/>
      <c r="D75" s="53"/>
      <c r="E75" s="53"/>
      <c r="F75" s="54"/>
    </row>
    <row r="76" spans="1:6" x14ac:dyDescent="0.25">
      <c r="A76" s="51"/>
      <c r="B76" s="52"/>
      <c r="C76" s="53"/>
      <c r="D76" s="53"/>
      <c r="E76" s="53"/>
      <c r="F76" s="54"/>
    </row>
    <row r="77" spans="1:6" x14ac:dyDescent="0.25">
      <c r="A77" s="51"/>
      <c r="B77" s="52"/>
      <c r="C77" s="53"/>
      <c r="D77" s="53"/>
      <c r="E77" s="53"/>
      <c r="F77" s="54"/>
    </row>
    <row r="78" spans="1:6" x14ac:dyDescent="0.25">
      <c r="A78" s="51"/>
      <c r="B78" s="52"/>
      <c r="C78" s="53"/>
      <c r="D78" s="53"/>
      <c r="E78" s="53"/>
      <c r="F78" s="54"/>
    </row>
    <row r="79" spans="1:6" x14ac:dyDescent="0.25">
      <c r="A79" s="51"/>
      <c r="B79" s="52"/>
      <c r="C79" s="53"/>
      <c r="D79" s="53"/>
      <c r="E79" s="53"/>
      <c r="F79" s="54"/>
    </row>
    <row r="80" spans="1:6" x14ac:dyDescent="0.25">
      <c r="A80" s="51"/>
      <c r="B80" s="52"/>
      <c r="C80" s="53"/>
      <c r="D80" s="53"/>
      <c r="E80" s="53"/>
      <c r="F80" s="54"/>
    </row>
    <row r="81" spans="1:6" x14ac:dyDescent="0.25">
      <c r="A81" s="51"/>
      <c r="B81" s="52"/>
      <c r="C81" s="53"/>
      <c r="D81" s="53"/>
      <c r="E81" s="53"/>
      <c r="F81" s="54"/>
    </row>
    <row r="82" spans="1:6" x14ac:dyDescent="0.25">
      <c r="A82" s="51"/>
      <c r="B82" s="52"/>
      <c r="C82" s="53"/>
      <c r="D82" s="53"/>
      <c r="E82" s="53"/>
      <c r="F82" s="54"/>
    </row>
    <row r="83" spans="1:6" x14ac:dyDescent="0.25">
      <c r="A83" s="51"/>
      <c r="B83" s="52"/>
      <c r="C83" s="53"/>
      <c r="D83" s="53"/>
      <c r="E83" s="53"/>
      <c r="F83" s="54"/>
    </row>
    <row r="84" spans="1:6" x14ac:dyDescent="0.25">
      <c r="A84" s="51"/>
      <c r="B84" s="52"/>
      <c r="C84" s="53"/>
      <c r="D84" s="53"/>
      <c r="E84" s="53"/>
      <c r="F84" s="54"/>
    </row>
    <row r="85" spans="1:6" x14ac:dyDescent="0.25">
      <c r="A85" s="51"/>
      <c r="B85" s="52"/>
      <c r="C85" s="53"/>
      <c r="D85" s="53"/>
      <c r="E85" s="53"/>
      <c r="F85" s="54"/>
    </row>
    <row r="86" spans="1:6" x14ac:dyDescent="0.25">
      <c r="A86" s="51"/>
      <c r="B86" s="52"/>
      <c r="C86" s="53"/>
      <c r="D86" s="53"/>
      <c r="E86" s="53"/>
      <c r="F86" s="54"/>
    </row>
    <row r="87" spans="1:6" x14ac:dyDescent="0.25">
      <c r="A87" s="51"/>
      <c r="B87" s="52"/>
      <c r="C87" s="53"/>
      <c r="D87" s="53"/>
      <c r="E87" s="53"/>
      <c r="F87" s="54"/>
    </row>
    <row r="88" spans="1:6" x14ac:dyDescent="0.25">
      <c r="A88" s="51"/>
      <c r="B88" s="52"/>
      <c r="C88" s="53"/>
      <c r="D88" s="53"/>
      <c r="E88" s="53"/>
      <c r="F88" s="54"/>
    </row>
    <row r="89" spans="1:6" x14ac:dyDescent="0.25">
      <c r="A89" s="51"/>
      <c r="B89" s="52"/>
      <c r="C89" s="53"/>
      <c r="D89" s="53"/>
      <c r="E89" s="53"/>
      <c r="F89" s="54"/>
    </row>
    <row r="90" spans="1:6" x14ac:dyDescent="0.25">
      <c r="A90" s="51"/>
      <c r="B90" s="52"/>
      <c r="C90" s="53"/>
      <c r="D90" s="53"/>
      <c r="E90" s="53"/>
      <c r="F90" s="54"/>
    </row>
    <row r="91" spans="1:6" x14ac:dyDescent="0.25">
      <c r="A91" s="51"/>
      <c r="B91" s="52"/>
      <c r="C91" s="53"/>
      <c r="D91" s="53"/>
      <c r="E91" s="53"/>
      <c r="F91" s="54"/>
    </row>
    <row r="92" spans="1:6" x14ac:dyDescent="0.25">
      <c r="A92" s="51"/>
      <c r="B92" s="52"/>
      <c r="C92" s="53"/>
      <c r="D92" s="53"/>
      <c r="E92" s="53"/>
      <c r="F92" s="54"/>
    </row>
    <row r="93" spans="1:6" x14ac:dyDescent="0.25">
      <c r="A93" s="51"/>
      <c r="B93" s="52"/>
      <c r="C93" s="53"/>
      <c r="D93" s="53"/>
      <c r="E93" s="53"/>
      <c r="F93" s="54"/>
    </row>
    <row r="94" spans="1:6" x14ac:dyDescent="0.25">
      <c r="A94" s="51"/>
      <c r="B94" s="52"/>
      <c r="C94" s="53"/>
      <c r="D94" s="53"/>
      <c r="E94" s="53"/>
      <c r="F94" s="54"/>
    </row>
    <row r="95" spans="1:6" x14ac:dyDescent="0.25">
      <c r="A95" s="51"/>
      <c r="B95" s="52"/>
      <c r="C95" s="53"/>
      <c r="D95" s="53"/>
      <c r="E95" s="53"/>
      <c r="F95" s="54"/>
    </row>
    <row r="96" spans="1:6" x14ac:dyDescent="0.25">
      <c r="A96" s="51"/>
      <c r="B96" s="52"/>
      <c r="C96" s="53"/>
      <c r="D96" s="53"/>
      <c r="E96" s="53"/>
      <c r="F96" s="54"/>
    </row>
    <row r="97" spans="1:6" x14ac:dyDescent="0.25">
      <c r="A97" s="51"/>
      <c r="B97" s="52"/>
      <c r="C97" s="51"/>
      <c r="D97" s="51"/>
      <c r="E97" s="51"/>
      <c r="F97" s="54"/>
    </row>
    <row r="98" spans="1:6" x14ac:dyDescent="0.25">
      <c r="A98" s="51"/>
      <c r="B98" s="52"/>
      <c r="C98" s="51"/>
      <c r="D98" s="51"/>
      <c r="E98" s="51"/>
      <c r="F98" s="54"/>
    </row>
    <row r="99" spans="1:6" x14ac:dyDescent="0.25">
      <c r="A99" s="51"/>
      <c r="B99" s="52"/>
      <c r="C99" s="51"/>
      <c r="D99" s="51"/>
      <c r="E99" s="51"/>
      <c r="F99" s="54"/>
    </row>
    <row r="100" spans="1:6" x14ac:dyDescent="0.25">
      <c r="A100" s="51"/>
      <c r="B100" s="52"/>
      <c r="C100" s="51"/>
      <c r="D100" s="51"/>
      <c r="E100" s="51"/>
      <c r="F100" s="54"/>
    </row>
    <row r="101" spans="1:6" x14ac:dyDescent="0.25">
      <c r="A101" s="51"/>
      <c r="B101" s="52"/>
      <c r="C101" s="51"/>
      <c r="D101" s="51"/>
      <c r="E101" s="51"/>
      <c r="F101" s="54"/>
    </row>
    <row r="102" spans="1:6" x14ac:dyDescent="0.25">
      <c r="A102" s="51"/>
      <c r="B102" s="52"/>
      <c r="C102" s="51"/>
      <c r="D102" s="51"/>
      <c r="E102" s="51"/>
      <c r="F102" s="54"/>
    </row>
    <row r="103" spans="1:6" x14ac:dyDescent="0.25">
      <c r="A103" s="51"/>
      <c r="B103" s="52"/>
      <c r="C103" s="51"/>
      <c r="D103" s="51"/>
      <c r="E103" s="51"/>
      <c r="F103" s="54"/>
    </row>
    <row r="104" spans="1:6" x14ac:dyDescent="0.25">
      <c r="A104" s="51"/>
      <c r="B104" s="52"/>
      <c r="C104" s="51"/>
      <c r="D104" s="51"/>
      <c r="E104" s="51"/>
      <c r="F104" s="54"/>
    </row>
    <row r="105" spans="1:6" x14ac:dyDescent="0.25">
      <c r="A105" s="51"/>
      <c r="B105" s="52"/>
      <c r="C105" s="51"/>
      <c r="D105" s="51"/>
      <c r="E105" s="51"/>
      <c r="F105" s="54"/>
    </row>
    <row r="106" spans="1:6" x14ac:dyDescent="0.25">
      <c r="A106" s="51"/>
      <c r="B106" s="52"/>
      <c r="C106" s="51"/>
      <c r="D106" s="51"/>
      <c r="E106" s="51"/>
      <c r="F106" s="54"/>
    </row>
    <row r="107" spans="1:6" x14ac:dyDescent="0.25">
      <c r="A107" s="51"/>
      <c r="B107" s="52"/>
      <c r="C107" s="51"/>
      <c r="D107" s="51"/>
      <c r="E107" s="51"/>
      <c r="F107" s="54"/>
    </row>
    <row r="108" spans="1:6" x14ac:dyDescent="0.25">
      <c r="A108" s="51"/>
      <c r="B108" s="52"/>
      <c r="C108" s="51"/>
      <c r="D108" s="51"/>
      <c r="E108" s="51"/>
      <c r="F108" s="54"/>
    </row>
    <row r="109" spans="1:6" x14ac:dyDescent="0.25">
      <c r="A109" s="51"/>
      <c r="B109" s="52"/>
      <c r="C109" s="51"/>
      <c r="D109" s="51"/>
      <c r="E109" s="51"/>
      <c r="F109" s="54"/>
    </row>
    <row r="110" spans="1:6" x14ac:dyDescent="0.25">
      <c r="A110" s="51"/>
      <c r="B110" s="52"/>
      <c r="C110" s="51"/>
      <c r="D110" s="51"/>
      <c r="E110" s="51"/>
      <c r="F110" s="54"/>
    </row>
    <row r="111" spans="1:6" x14ac:dyDescent="0.25">
      <c r="A111" s="51"/>
      <c r="B111" s="52"/>
      <c r="C111" s="51"/>
      <c r="D111" s="51"/>
      <c r="E111" s="51"/>
      <c r="F111" s="54"/>
    </row>
    <row r="112" spans="1:6" x14ac:dyDescent="0.25">
      <c r="A112" s="51"/>
      <c r="B112" s="52"/>
      <c r="C112" s="51"/>
      <c r="D112" s="51"/>
      <c r="E112" s="51"/>
      <c r="F112" s="54"/>
    </row>
    <row r="113" spans="1:6" x14ac:dyDescent="0.25">
      <c r="A113" s="51"/>
      <c r="B113" s="52"/>
      <c r="C113" s="51"/>
      <c r="D113" s="51"/>
      <c r="E113" s="51"/>
      <c r="F113" s="54"/>
    </row>
    <row r="114" spans="1:6" x14ac:dyDescent="0.25">
      <c r="A114" s="51"/>
      <c r="B114" s="52"/>
      <c r="C114" s="51"/>
      <c r="D114" s="51"/>
      <c r="E114" s="51"/>
      <c r="F114" s="54"/>
    </row>
    <row r="115" spans="1:6" x14ac:dyDescent="0.25">
      <c r="A115" s="51"/>
      <c r="B115" s="52"/>
      <c r="C115" s="51"/>
      <c r="D115" s="51"/>
      <c r="E115" s="51"/>
      <c r="F115" s="54"/>
    </row>
    <row r="116" spans="1:6" x14ac:dyDescent="0.25">
      <c r="A116" s="51"/>
      <c r="B116" s="52"/>
      <c r="C116" s="51"/>
      <c r="D116" s="51"/>
      <c r="E116" s="51"/>
      <c r="F116" s="54"/>
    </row>
    <row r="117" spans="1:6" x14ac:dyDescent="0.25">
      <c r="A117" s="51"/>
      <c r="B117" s="52"/>
      <c r="C117" s="51"/>
      <c r="D117" s="51"/>
      <c r="E117" s="51"/>
      <c r="F117" s="54"/>
    </row>
    <row r="118" spans="1:6" x14ac:dyDescent="0.25">
      <c r="A118" s="51"/>
      <c r="B118" s="52"/>
      <c r="C118" s="51"/>
      <c r="D118" s="51"/>
      <c r="E118" s="51"/>
      <c r="F118" s="54"/>
    </row>
    <row r="119" spans="1:6" x14ac:dyDescent="0.25">
      <c r="A119" s="51"/>
      <c r="B119" s="52"/>
      <c r="C119" s="51"/>
      <c r="D119" s="51"/>
      <c r="E119" s="51"/>
      <c r="F119" s="54"/>
    </row>
    <row r="120" spans="1:6" x14ac:dyDescent="0.25">
      <c r="A120" s="51"/>
      <c r="B120" s="52"/>
      <c r="C120" s="51"/>
      <c r="D120" s="51"/>
      <c r="E120" s="51"/>
      <c r="F120" s="54"/>
    </row>
    <row r="121" spans="1:6" x14ac:dyDescent="0.25">
      <c r="A121" s="51"/>
      <c r="B121" s="52"/>
      <c r="C121" s="51"/>
      <c r="D121" s="51"/>
      <c r="E121" s="51"/>
      <c r="F121" s="54"/>
    </row>
    <row r="122" spans="1:6" x14ac:dyDescent="0.25">
      <c r="A122" s="51"/>
      <c r="B122" s="52"/>
      <c r="C122" s="51"/>
      <c r="D122" s="51"/>
      <c r="E122" s="51"/>
      <c r="F122" s="54"/>
    </row>
    <row r="123" spans="1:6" x14ac:dyDescent="0.25">
      <c r="A123" s="51"/>
      <c r="B123" s="52"/>
      <c r="C123" s="51"/>
      <c r="D123" s="51"/>
      <c r="E123" s="51"/>
      <c r="F123" s="54"/>
    </row>
    <row r="124" spans="1:6" x14ac:dyDescent="0.25">
      <c r="A124" s="51"/>
      <c r="B124" s="52"/>
      <c r="C124" s="51"/>
      <c r="D124" s="51"/>
      <c r="E124" s="51"/>
      <c r="F124" s="54"/>
    </row>
    <row r="125" spans="1:6" x14ac:dyDescent="0.25">
      <c r="A125" s="51"/>
      <c r="B125" s="52"/>
      <c r="C125" s="51"/>
      <c r="D125" s="51"/>
      <c r="E125" s="51"/>
      <c r="F125" s="54"/>
    </row>
    <row r="126" spans="1:6" x14ac:dyDescent="0.25">
      <c r="A126" s="51"/>
      <c r="B126" s="52"/>
      <c r="C126" s="51"/>
      <c r="D126" s="51"/>
      <c r="E126" s="51"/>
      <c r="F126" s="54"/>
    </row>
    <row r="127" spans="1:6" x14ac:dyDescent="0.25">
      <c r="A127" s="51"/>
      <c r="B127" s="52"/>
      <c r="C127" s="51"/>
      <c r="D127" s="51"/>
      <c r="E127" s="51"/>
      <c r="F127" s="54"/>
    </row>
    <row r="128" spans="1:6" x14ac:dyDescent="0.25">
      <c r="A128" s="51"/>
      <c r="B128" s="52"/>
      <c r="C128" s="51"/>
      <c r="D128" s="51"/>
      <c r="E128" s="51"/>
      <c r="F128" s="54"/>
    </row>
    <row r="129" spans="1:6" x14ac:dyDescent="0.25">
      <c r="A129" s="51"/>
      <c r="B129" s="52"/>
      <c r="C129" s="51"/>
      <c r="D129" s="51"/>
      <c r="E129" s="51"/>
      <c r="F129" s="54"/>
    </row>
    <row r="130" spans="1:6" x14ac:dyDescent="0.25">
      <c r="A130" s="51"/>
      <c r="B130" s="52"/>
      <c r="C130" s="51"/>
      <c r="D130" s="51"/>
      <c r="E130" s="51"/>
      <c r="F130" s="54"/>
    </row>
    <row r="131" spans="1:6" x14ac:dyDescent="0.25">
      <c r="A131" s="51"/>
      <c r="B131" s="52"/>
      <c r="C131" s="51"/>
      <c r="D131" s="51"/>
      <c r="E131" s="51"/>
      <c r="F131" s="54"/>
    </row>
    <row r="132" spans="1:6" x14ac:dyDescent="0.25">
      <c r="A132" s="51"/>
      <c r="B132" s="52"/>
      <c r="C132" s="51"/>
      <c r="D132" s="51"/>
      <c r="E132" s="51"/>
      <c r="F132" s="54"/>
    </row>
    <row r="133" spans="1:6" x14ac:dyDescent="0.25">
      <c r="A133" s="51"/>
      <c r="B133" s="52"/>
      <c r="C133" s="51"/>
      <c r="D133" s="51"/>
      <c r="E133" s="51"/>
      <c r="F133" s="54"/>
    </row>
    <row r="134" spans="1:6" x14ac:dyDescent="0.25">
      <c r="A134" s="51"/>
      <c r="B134" s="52"/>
      <c r="C134" s="51"/>
      <c r="D134" s="51"/>
      <c r="E134" s="51"/>
      <c r="F134" s="54"/>
    </row>
    <row r="135" spans="1:6" x14ac:dyDescent="0.25">
      <c r="A135" s="51"/>
      <c r="B135" s="52"/>
      <c r="C135" s="51"/>
      <c r="D135" s="51"/>
      <c r="E135" s="51"/>
      <c r="F135" s="54"/>
    </row>
    <row r="136" spans="1:6" x14ac:dyDescent="0.25">
      <c r="A136" s="51"/>
      <c r="B136" s="52"/>
      <c r="C136" s="51"/>
      <c r="D136" s="51"/>
      <c r="E136" s="51"/>
      <c r="F136" s="54"/>
    </row>
    <row r="137" spans="1:6" x14ac:dyDescent="0.25">
      <c r="A137" s="51"/>
      <c r="B137" s="52"/>
      <c r="C137" s="51"/>
      <c r="D137" s="51"/>
      <c r="E137" s="51"/>
      <c r="F137" s="54"/>
    </row>
    <row r="138" spans="1:6" x14ac:dyDescent="0.25">
      <c r="A138" s="51"/>
      <c r="B138" s="52"/>
      <c r="C138" s="51"/>
      <c r="D138" s="51"/>
      <c r="E138" s="51"/>
      <c r="F138" s="54"/>
    </row>
    <row r="139" spans="1:6" x14ac:dyDescent="0.25">
      <c r="A139" s="51"/>
      <c r="B139" s="52"/>
      <c r="C139" s="51"/>
      <c r="D139" s="51"/>
      <c r="E139" s="51"/>
      <c r="F139" s="54"/>
    </row>
    <row r="140" spans="1:6" x14ac:dyDescent="0.25">
      <c r="A140" s="51"/>
      <c r="B140" s="52"/>
      <c r="C140" s="51"/>
      <c r="D140" s="51"/>
      <c r="E140" s="51"/>
      <c r="F140" s="54"/>
    </row>
    <row r="141" spans="1:6" x14ac:dyDescent="0.25">
      <c r="A141" s="51"/>
      <c r="B141" s="52"/>
      <c r="C141" s="51"/>
      <c r="D141" s="51"/>
      <c r="E141" s="51"/>
      <c r="F141" s="54"/>
    </row>
    <row r="142" spans="1:6" x14ac:dyDescent="0.25">
      <c r="A142" s="51"/>
      <c r="B142" s="52"/>
      <c r="C142" s="51"/>
      <c r="D142" s="51"/>
      <c r="E142" s="51"/>
      <c r="F142" s="54"/>
    </row>
    <row r="143" spans="1:6" x14ac:dyDescent="0.25">
      <c r="A143" s="51"/>
      <c r="B143" s="52"/>
      <c r="C143" s="51"/>
      <c r="D143" s="51"/>
      <c r="E143" s="51"/>
      <c r="F143" s="54"/>
    </row>
    <row r="144" spans="1:6" x14ac:dyDescent="0.25">
      <c r="A144" s="51"/>
      <c r="B144" s="52"/>
      <c r="C144" s="51"/>
      <c r="D144" s="51"/>
      <c r="E144" s="51"/>
      <c r="F144" s="54"/>
    </row>
    <row r="145" spans="1:6" x14ac:dyDescent="0.25">
      <c r="A145" s="51"/>
      <c r="B145" s="52"/>
      <c r="C145" s="51"/>
      <c r="D145" s="51"/>
      <c r="E145" s="51"/>
      <c r="F145" s="54"/>
    </row>
    <row r="146" spans="1:6" x14ac:dyDescent="0.25">
      <c r="A146" s="51"/>
      <c r="B146" s="52"/>
      <c r="C146" s="51"/>
      <c r="D146" s="51"/>
      <c r="E146" s="51"/>
      <c r="F146" s="54"/>
    </row>
    <row r="147" spans="1:6" x14ac:dyDescent="0.25">
      <c r="A147" s="51"/>
      <c r="B147" s="52"/>
      <c r="C147" s="51"/>
      <c r="D147" s="51"/>
      <c r="E147" s="51"/>
      <c r="F147" s="54"/>
    </row>
    <row r="148" spans="1:6" x14ac:dyDescent="0.25">
      <c r="A148" s="51"/>
      <c r="B148" s="52"/>
      <c r="C148" s="51"/>
      <c r="D148" s="51"/>
      <c r="E148" s="51"/>
      <c r="F148" s="54"/>
    </row>
    <row r="149" spans="1:6" x14ac:dyDescent="0.25">
      <c r="A149" s="51"/>
      <c r="B149" s="52"/>
      <c r="C149" s="51"/>
      <c r="D149" s="51"/>
      <c r="E149" s="51"/>
      <c r="F149" s="54"/>
    </row>
    <row r="150" spans="1:6" x14ac:dyDescent="0.25">
      <c r="A150" s="51"/>
      <c r="B150" s="52"/>
      <c r="C150" s="51"/>
      <c r="D150" s="51"/>
      <c r="E150" s="51"/>
      <c r="F150" s="54"/>
    </row>
    <row r="151" spans="1:6" x14ac:dyDescent="0.25">
      <c r="A151" s="51"/>
      <c r="B151" s="52"/>
      <c r="C151" s="51"/>
      <c r="D151" s="51"/>
      <c r="E151" s="51"/>
      <c r="F151" s="54"/>
    </row>
    <row r="152" spans="1:6" x14ac:dyDescent="0.25">
      <c r="A152" s="51"/>
      <c r="B152" s="52"/>
      <c r="C152" s="51"/>
      <c r="D152" s="51"/>
      <c r="E152" s="51"/>
      <c r="F152" s="54"/>
    </row>
    <row r="153" spans="1:6" x14ac:dyDescent="0.25">
      <c r="A153" s="51"/>
      <c r="B153" s="52"/>
      <c r="C153" s="51"/>
      <c r="D153" s="51"/>
      <c r="E153" s="51"/>
      <c r="F153" s="54"/>
    </row>
    <row r="154" spans="1:6" x14ac:dyDescent="0.25">
      <c r="A154" s="51"/>
      <c r="B154" s="52"/>
      <c r="C154" s="51"/>
      <c r="D154" s="51"/>
      <c r="E154" s="51"/>
      <c r="F154" s="54"/>
    </row>
    <row r="155" spans="1:6" x14ac:dyDescent="0.25">
      <c r="A155" s="51"/>
      <c r="B155" s="52"/>
      <c r="C155" s="51"/>
      <c r="D155" s="51"/>
      <c r="E155" s="51"/>
      <c r="F155" s="54"/>
    </row>
    <row r="156" spans="1:6" x14ac:dyDescent="0.25">
      <c r="A156" s="51"/>
      <c r="B156" s="52"/>
      <c r="C156" s="51"/>
      <c r="D156" s="51"/>
      <c r="E156" s="51"/>
      <c r="F156" s="54"/>
    </row>
    <row r="157" spans="1:6" x14ac:dyDescent="0.25">
      <c r="A157" s="51"/>
      <c r="B157" s="52"/>
      <c r="C157" s="51"/>
      <c r="D157" s="51"/>
      <c r="E157" s="51"/>
      <c r="F157" s="54"/>
    </row>
    <row r="158" spans="1:6" x14ac:dyDescent="0.25">
      <c r="A158" s="51"/>
      <c r="B158" s="52"/>
      <c r="C158" s="51"/>
      <c r="D158" s="51"/>
      <c r="E158" s="51"/>
      <c r="F158" s="54"/>
    </row>
    <row r="159" spans="1:6" x14ac:dyDescent="0.25">
      <c r="A159" s="51"/>
      <c r="B159" s="52"/>
      <c r="C159" s="51"/>
      <c r="D159" s="51"/>
      <c r="E159" s="51"/>
      <c r="F159" s="54"/>
    </row>
    <row r="160" spans="1:6" x14ac:dyDescent="0.25">
      <c r="A160" s="51"/>
      <c r="B160" s="52"/>
      <c r="C160" s="51"/>
      <c r="D160" s="51"/>
      <c r="E160" s="51"/>
      <c r="F160" s="54"/>
    </row>
    <row r="161" spans="1:6" x14ac:dyDescent="0.25">
      <c r="A161" s="51"/>
      <c r="B161" s="52"/>
      <c r="C161" s="51"/>
      <c r="D161" s="51"/>
      <c r="E161" s="51"/>
      <c r="F161" s="54"/>
    </row>
    <row r="162" spans="1:6" x14ac:dyDescent="0.25">
      <c r="A162" s="51"/>
      <c r="B162" s="52"/>
      <c r="C162" s="51"/>
      <c r="D162" s="51"/>
      <c r="E162" s="51"/>
      <c r="F162" s="54"/>
    </row>
    <row r="163" spans="1:6" x14ac:dyDescent="0.25">
      <c r="A163" s="51"/>
      <c r="B163" s="52"/>
      <c r="C163" s="51"/>
      <c r="D163" s="51"/>
      <c r="E163" s="51"/>
      <c r="F163" s="54"/>
    </row>
    <row r="164" spans="1:6" x14ac:dyDescent="0.25">
      <c r="A164" s="51"/>
      <c r="B164" s="52"/>
      <c r="C164" s="51"/>
      <c r="D164" s="51"/>
      <c r="E164" s="51"/>
      <c r="F164" s="54"/>
    </row>
    <row r="165" spans="1:6" x14ac:dyDescent="0.25">
      <c r="A165" s="51"/>
      <c r="B165" s="52"/>
      <c r="C165" s="51"/>
      <c r="D165" s="51"/>
      <c r="E165" s="51"/>
      <c r="F165" s="54"/>
    </row>
    <row r="166" spans="1:6" x14ac:dyDescent="0.25">
      <c r="A166" s="51"/>
      <c r="B166" s="52"/>
      <c r="C166" s="51"/>
      <c r="D166" s="51"/>
      <c r="E166" s="51"/>
      <c r="F166" s="54"/>
    </row>
    <row r="167" spans="1:6" x14ac:dyDescent="0.25">
      <c r="A167" s="51"/>
      <c r="B167" s="52"/>
      <c r="C167" s="51"/>
      <c r="D167" s="51"/>
      <c r="E167" s="51"/>
      <c r="F167" s="54"/>
    </row>
    <row r="168" spans="1:6" x14ac:dyDescent="0.25">
      <c r="A168" s="51"/>
      <c r="B168" s="52"/>
      <c r="C168" s="51"/>
      <c r="D168" s="51"/>
      <c r="E168" s="51"/>
      <c r="F168" s="54"/>
    </row>
    <row r="169" spans="1:6" x14ac:dyDescent="0.25">
      <c r="A169" s="51"/>
      <c r="B169" s="52"/>
      <c r="C169" s="51"/>
      <c r="D169" s="51"/>
      <c r="E169" s="51"/>
      <c r="F169" s="54"/>
    </row>
    <row r="170" spans="1:6" x14ac:dyDescent="0.25">
      <c r="A170" s="51"/>
      <c r="B170" s="52"/>
      <c r="C170" s="51"/>
      <c r="D170" s="51"/>
      <c r="E170" s="51"/>
      <c r="F170" s="54"/>
    </row>
    <row r="171" spans="1:6" x14ac:dyDescent="0.25">
      <c r="A171" s="51"/>
      <c r="B171" s="52"/>
      <c r="C171" s="51"/>
      <c r="D171" s="51"/>
      <c r="E171" s="51"/>
      <c r="F171" s="54"/>
    </row>
    <row r="172" spans="1:6" x14ac:dyDescent="0.25">
      <c r="A172" s="51"/>
      <c r="B172" s="52"/>
      <c r="C172" s="51"/>
      <c r="D172" s="51"/>
      <c r="E172" s="51"/>
      <c r="F172" s="54"/>
    </row>
  </sheetData>
  <mergeCells count="9">
    <mergeCell ref="A47:F47"/>
    <mergeCell ref="A4:F4"/>
    <mergeCell ref="A5:F5"/>
    <mergeCell ref="C7:E7"/>
    <mergeCell ref="C8:E8"/>
    <mergeCell ref="C9:E9"/>
    <mergeCell ref="F7:F10"/>
    <mergeCell ref="A7:A10"/>
    <mergeCell ref="B7:B10"/>
  </mergeCells>
  <pageMargins left="0.39370078740157483" right="0.39370078740157483" top="1.1811023622047245" bottom="0.39370078740157483" header="0.31496062992125984" footer="0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6" sqref="G16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68">
        <v>43923</v>
      </c>
      <c r="B1" s="68"/>
      <c r="C1" s="68"/>
      <c r="E1" s="69">
        <v>2</v>
      </c>
      <c r="F1" s="69"/>
      <c r="G1" s="69"/>
      <c r="J1" s="68">
        <v>43984</v>
      </c>
      <c r="K1" s="68"/>
      <c r="L1" s="68"/>
      <c r="O1" s="68">
        <v>43892</v>
      </c>
      <c r="P1" s="68"/>
      <c r="Q1" s="68"/>
    </row>
    <row r="2" spans="1:17" ht="15.75" thickBot="1" x14ac:dyDescent="0.3">
      <c r="A2" s="3">
        <v>10504</v>
      </c>
      <c r="B2" s="4">
        <v>10924.16</v>
      </c>
      <c r="C2" s="4">
        <v>11361.13</v>
      </c>
      <c r="E2" s="3">
        <v>2122498.0099999998</v>
      </c>
      <c r="F2" s="4">
        <v>2207405.92</v>
      </c>
      <c r="G2" s="4">
        <v>2295702.17</v>
      </c>
      <c r="J2" s="3">
        <v>2449077</v>
      </c>
      <c r="K2" s="4">
        <v>2554366</v>
      </c>
      <c r="L2" s="4">
        <v>2661554</v>
      </c>
      <c r="O2" s="8">
        <v>24897166.460000001</v>
      </c>
      <c r="P2" s="9">
        <v>25893053.109999999</v>
      </c>
      <c r="Q2" s="9">
        <v>26928775.239999998</v>
      </c>
    </row>
    <row r="3" spans="1:17" ht="15.75" thickBot="1" x14ac:dyDescent="0.3">
      <c r="A3" s="5">
        <v>20592</v>
      </c>
      <c r="B3" s="6">
        <v>21412.68</v>
      </c>
      <c r="C3" s="6">
        <v>22272.31</v>
      </c>
      <c r="E3" s="14">
        <v>14011300</v>
      </c>
      <c r="F3" s="15">
        <v>14453600</v>
      </c>
      <c r="G3" s="15">
        <v>14915000</v>
      </c>
      <c r="J3" s="5">
        <v>1850350.8</v>
      </c>
      <c r="K3" s="11">
        <v>1914156</v>
      </c>
      <c r="L3" s="11">
        <v>2041766.4</v>
      </c>
      <c r="O3" s="10">
        <v>132478.10999999999</v>
      </c>
      <c r="P3" s="11">
        <v>137777.24</v>
      </c>
      <c r="Q3" s="11">
        <v>143288.32999999999</v>
      </c>
    </row>
    <row r="4" spans="1:17" ht="15.75" thickBot="1" x14ac:dyDescent="0.3">
      <c r="A4" s="5">
        <v>221520</v>
      </c>
      <c r="B4" s="6">
        <v>230380</v>
      </c>
      <c r="C4" s="6">
        <v>239596.03</v>
      </c>
      <c r="E4" s="5">
        <f t="shared" ref="E4:G4" si="0">O5</f>
        <v>29529644.57</v>
      </c>
      <c r="F4" s="6">
        <f t="shared" si="0"/>
        <v>26030830.349999998</v>
      </c>
      <c r="G4" s="6">
        <f t="shared" si="0"/>
        <v>27072063.569999997</v>
      </c>
      <c r="J4" s="5">
        <v>310265.64</v>
      </c>
      <c r="K4" s="6">
        <v>322676.27</v>
      </c>
      <c r="L4" s="6">
        <v>335583.32</v>
      </c>
      <c r="O4" s="10">
        <v>4500000</v>
      </c>
      <c r="P4" s="11">
        <v>0</v>
      </c>
      <c r="Q4" s="11">
        <v>0</v>
      </c>
    </row>
    <row r="5" spans="1:17" ht="15.75" thickBot="1" x14ac:dyDescent="0.3">
      <c r="A5" s="5">
        <v>400000</v>
      </c>
      <c r="B5" s="6">
        <v>416000</v>
      </c>
      <c r="C5" s="6">
        <v>432640</v>
      </c>
      <c r="E5" s="70">
        <v>176501407.50999999</v>
      </c>
      <c r="F5" s="70">
        <v>180524528.97</v>
      </c>
      <c r="G5" s="70">
        <v>184720070.06999999</v>
      </c>
      <c r="H5" s="7"/>
      <c r="J5" s="5">
        <v>56800</v>
      </c>
      <c r="K5" s="6">
        <v>59072</v>
      </c>
      <c r="L5" s="6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5">
        <v>425376</v>
      </c>
      <c r="B6" s="6">
        <v>443100</v>
      </c>
      <c r="C6" s="6">
        <v>460824</v>
      </c>
      <c r="E6" s="71"/>
      <c r="F6" s="71"/>
      <c r="G6" s="71"/>
      <c r="H6" s="7"/>
      <c r="J6" s="12">
        <v>14057264</v>
      </c>
      <c r="K6" s="11">
        <v>0</v>
      </c>
      <c r="L6" s="11">
        <v>0</v>
      </c>
    </row>
    <row r="7" spans="1:17" ht="15.75" thickBot="1" x14ac:dyDescent="0.3">
      <c r="A7" s="5">
        <v>355513.59999999998</v>
      </c>
      <c r="B7" s="6">
        <v>369734.14</v>
      </c>
      <c r="C7" s="6">
        <v>384523.51</v>
      </c>
      <c r="E7" s="16">
        <v>12000000</v>
      </c>
      <c r="F7" s="13">
        <v>12480000</v>
      </c>
      <c r="G7" s="13">
        <v>12979200</v>
      </c>
      <c r="J7" s="2">
        <f>SUM(J2:J6)</f>
        <v>18723757.439999998</v>
      </c>
      <c r="K7" s="2">
        <f>SUM(K2:K6)</f>
        <v>4850270.2699999996</v>
      </c>
      <c r="L7" s="2">
        <f t="shared" ref="L7" si="2">SUM(L2:L6)</f>
        <v>5100338.6000000006</v>
      </c>
    </row>
    <row r="8" spans="1:17" ht="15.75" thickBot="1" x14ac:dyDescent="0.3">
      <c r="A8" s="5">
        <v>2207296</v>
      </c>
      <c r="B8" s="6">
        <v>2295587.8399999999</v>
      </c>
      <c r="C8" s="6">
        <v>2387411.35</v>
      </c>
      <c r="E8" s="16">
        <v>18723757.440000001</v>
      </c>
      <c r="F8" s="13">
        <v>4850270.2699999996</v>
      </c>
      <c r="G8" s="13">
        <v>5100338.5999999996</v>
      </c>
    </row>
    <row r="9" spans="1:17" ht="15.75" thickBot="1" x14ac:dyDescent="0.3">
      <c r="A9" s="5">
        <v>832000</v>
      </c>
      <c r="B9" s="6">
        <v>865280</v>
      </c>
      <c r="C9" s="6">
        <v>899891.19999999995</v>
      </c>
      <c r="E9" s="17">
        <v>5823000</v>
      </c>
      <c r="F9" s="18">
        <v>5200000</v>
      </c>
      <c r="G9" s="18">
        <v>5408000</v>
      </c>
    </row>
    <row r="10" spans="1:17" ht="15.75" thickBot="1" x14ac:dyDescent="0.3">
      <c r="A10" s="5">
        <v>75637000.120000005</v>
      </c>
      <c r="B10" s="6">
        <v>75637000.120000005</v>
      </c>
      <c r="C10" s="6">
        <v>75637000.120000005</v>
      </c>
      <c r="E10" s="2">
        <f>SUM(E2:E9)</f>
        <v>258711607.52999997</v>
      </c>
      <c r="F10" s="2">
        <f t="shared" ref="F10:G10" si="3">SUM(F2:F9)</f>
        <v>245746635.51000002</v>
      </c>
      <c r="G10" s="2">
        <f t="shared" si="3"/>
        <v>252490374.41</v>
      </c>
    </row>
    <row r="11" spans="1:17" ht="15.75" thickBot="1" x14ac:dyDescent="0.3">
      <c r="A11" s="5">
        <v>520000</v>
      </c>
      <c r="B11" s="6">
        <v>540800</v>
      </c>
      <c r="C11" s="6">
        <v>562432</v>
      </c>
    </row>
    <row r="12" spans="1:17" ht="15.75" thickBot="1" x14ac:dyDescent="0.3">
      <c r="A12" s="5">
        <v>31123442.23</v>
      </c>
      <c r="B12" s="6">
        <v>32368379.920000002</v>
      </c>
      <c r="C12" s="6">
        <v>33663115.119999997</v>
      </c>
    </row>
    <row r="13" spans="1:17" ht="15.75" thickBot="1" x14ac:dyDescent="0.3">
      <c r="A13" s="5">
        <v>20066352.84</v>
      </c>
      <c r="B13" s="6">
        <v>20869006.960000001</v>
      </c>
      <c r="C13" s="6">
        <v>21703767.23</v>
      </c>
    </row>
    <row r="14" spans="1:17" ht="15.75" thickBot="1" x14ac:dyDescent="0.3">
      <c r="A14" s="5">
        <v>306500</v>
      </c>
      <c r="B14" s="6">
        <v>306600</v>
      </c>
      <c r="C14" s="6">
        <v>318900</v>
      </c>
    </row>
    <row r="15" spans="1:17" ht="15.75" thickBot="1" x14ac:dyDescent="0.3">
      <c r="A15" s="5">
        <v>44375310.719999999</v>
      </c>
      <c r="B15" s="6">
        <v>46150323.149999999</v>
      </c>
      <c r="C15" s="6">
        <v>47996336.07</v>
      </c>
    </row>
    <row r="16" spans="1:17" x14ac:dyDescent="0.25">
      <c r="A16" s="2">
        <f>SUM(A2:A15)</f>
        <v>176501407.50999999</v>
      </c>
      <c r="B16" s="2">
        <f>SUM(B2:B15)</f>
        <v>180524528.97</v>
      </c>
      <c r="C16" s="2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3" sqref="A3:XFD15"/>
    </sheetView>
  </sheetViews>
  <sheetFormatPr defaultRowHeight="15" x14ac:dyDescent="0.25"/>
  <sheetData>
    <row r="2" spans="1:6" ht="15.75" thickBot="1" x14ac:dyDescent="0.3"/>
    <row r="3" spans="1:6" ht="409.6" thickBot="1" x14ac:dyDescent="0.3">
      <c r="A3" s="19" t="s">
        <v>12</v>
      </c>
      <c r="B3" s="20" t="s">
        <v>6</v>
      </c>
      <c r="C3" s="21">
        <v>450766.59</v>
      </c>
      <c r="D3" s="22">
        <v>468301.41</v>
      </c>
      <c r="E3" s="22">
        <v>487408.11</v>
      </c>
      <c r="F3" s="23" t="s">
        <v>13</v>
      </c>
    </row>
    <row r="4" spans="1:6" ht="409.5" x14ac:dyDescent="0.25">
      <c r="A4" s="72" t="s">
        <v>9</v>
      </c>
      <c r="B4" s="75" t="s">
        <v>14</v>
      </c>
      <c r="C4" s="78">
        <v>155200</v>
      </c>
      <c r="D4" s="75">
        <v>161237.28</v>
      </c>
      <c r="E4" s="75">
        <v>167815.76</v>
      </c>
      <c r="F4" s="25" t="s">
        <v>15</v>
      </c>
    </row>
    <row r="5" spans="1:6" ht="78.75" x14ac:dyDescent="0.25">
      <c r="A5" s="73"/>
      <c r="B5" s="76"/>
      <c r="C5" s="79"/>
      <c r="D5" s="76"/>
      <c r="E5" s="76"/>
      <c r="F5" s="24" t="s">
        <v>16</v>
      </c>
    </row>
    <row r="6" spans="1:6" ht="283.5" x14ac:dyDescent="0.25">
      <c r="A6" s="73"/>
      <c r="B6" s="76"/>
      <c r="C6" s="79"/>
      <c r="D6" s="76"/>
      <c r="E6" s="76"/>
      <c r="F6" s="25" t="s">
        <v>17</v>
      </c>
    </row>
    <row r="7" spans="1:6" ht="409.5" x14ac:dyDescent="0.25">
      <c r="A7" s="73"/>
      <c r="B7" s="76"/>
      <c r="C7" s="79"/>
      <c r="D7" s="76"/>
      <c r="E7" s="76"/>
      <c r="F7" s="25" t="s">
        <v>18</v>
      </c>
    </row>
    <row r="8" spans="1:6" ht="409.6" thickBot="1" x14ac:dyDescent="0.3">
      <c r="A8" s="74"/>
      <c r="B8" s="77"/>
      <c r="C8" s="80"/>
      <c r="D8" s="77"/>
      <c r="E8" s="77"/>
      <c r="F8" s="26" t="s">
        <v>19</v>
      </c>
    </row>
    <row r="9" spans="1:6" ht="409.5" x14ac:dyDescent="0.25">
      <c r="A9" s="72" t="s">
        <v>20</v>
      </c>
      <c r="B9" s="75" t="s">
        <v>21</v>
      </c>
      <c r="C9" s="78">
        <v>295566.59000000003</v>
      </c>
      <c r="D9" s="75">
        <v>307064.13</v>
      </c>
      <c r="E9" s="75">
        <v>319592.34999999998</v>
      </c>
      <c r="F9" s="25" t="s">
        <v>22</v>
      </c>
    </row>
    <row r="10" spans="1:6" ht="63" x14ac:dyDescent="0.25">
      <c r="A10" s="73"/>
      <c r="B10" s="76"/>
      <c r="C10" s="79"/>
      <c r="D10" s="76"/>
      <c r="E10" s="76"/>
      <c r="F10" s="24" t="s">
        <v>23</v>
      </c>
    </row>
    <row r="11" spans="1:6" ht="15.75" x14ac:dyDescent="0.25">
      <c r="A11" s="73"/>
      <c r="B11" s="76"/>
      <c r="C11" s="79"/>
      <c r="D11" s="76"/>
      <c r="E11" s="76"/>
      <c r="F11" s="25" t="s">
        <v>24</v>
      </c>
    </row>
    <row r="12" spans="1:6" ht="346.5" x14ac:dyDescent="0.25">
      <c r="A12" s="73"/>
      <c r="B12" s="76"/>
      <c r="C12" s="79"/>
      <c r="D12" s="76"/>
      <c r="E12" s="76"/>
      <c r="F12" s="25" t="s">
        <v>25</v>
      </c>
    </row>
    <row r="13" spans="1:6" ht="409.5" x14ac:dyDescent="0.25">
      <c r="A13" s="73"/>
      <c r="B13" s="76"/>
      <c r="C13" s="79"/>
      <c r="D13" s="76"/>
      <c r="E13" s="76"/>
      <c r="F13" s="25" t="s">
        <v>26</v>
      </c>
    </row>
    <row r="14" spans="1:6" ht="409.6" thickBot="1" x14ac:dyDescent="0.3">
      <c r="A14" s="74"/>
      <c r="B14" s="77"/>
      <c r="C14" s="80"/>
      <c r="D14" s="77"/>
      <c r="E14" s="77"/>
      <c r="F14" s="26" t="s">
        <v>27</v>
      </c>
    </row>
    <row r="15" spans="1:6" ht="409.6" thickBot="1" x14ac:dyDescent="0.3">
      <c r="A15" s="27" t="s">
        <v>10</v>
      </c>
      <c r="B15" s="28" t="s">
        <v>5</v>
      </c>
      <c r="C15" s="29">
        <v>304378.56</v>
      </c>
      <c r="D15" s="29">
        <v>321144.77</v>
      </c>
      <c r="E15" s="29">
        <v>334247.48</v>
      </c>
      <c r="F15" s="26" t="s">
        <v>28</v>
      </c>
    </row>
  </sheetData>
  <mergeCells count="10">
    <mergeCell ref="A4:A8"/>
    <mergeCell ref="B4:B8"/>
    <mergeCell ref="C4:C8"/>
    <mergeCell ref="D4:D8"/>
    <mergeCell ref="E4:E8"/>
    <mergeCell ref="A9:A14"/>
    <mergeCell ref="B9:B14"/>
    <mergeCell ref="C9:C14"/>
    <mergeCell ref="D9:D14"/>
    <mergeCell ref="E9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Лист3</vt:lpstr>
      <vt:lpstr>Лист1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2024-06-13T08:49:36Z</dcterms:modified>
</cp:coreProperties>
</file>