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6370" windowHeight="11445" firstSheet="1" activeTab="1"/>
  </bookViews>
  <sheets>
    <sheet name="Лист2" sheetId="43" r:id="rId1"/>
    <sheet name="18.03.24  2024-2026" sheetId="49" r:id="rId2"/>
    <sheet name="01.03.24  2024-2026 " sheetId="48" r:id="rId3"/>
    <sheet name="31.05.23  2024-2026" sheetId="47" r:id="rId4"/>
    <sheet name="10.05.23  2023-2025" sheetId="46" r:id="rId5"/>
    <sheet name="24.06.22  2023-2025" sheetId="42" r:id="rId6"/>
    <sheet name="01.07.22 ГКУ ЦБ 2022-2024 " sheetId="45" r:id="rId7"/>
    <sheet name="01.10.21 ГКУ ЦБ 2022-2024 " sheetId="44" r:id="rId8"/>
    <sheet name="ГКУ ЦБ 2022-2024" sheetId="41" r:id="rId9"/>
    <sheet name="ГКУ ЦБ 2021-2023  (2)" sheetId="40" r:id="rId10"/>
    <sheet name="ГКУ ЦБ 2021-2023 " sheetId="39" r:id="rId11"/>
    <sheet name="ГКУ ЦБ 2020-2022" sheetId="37" r:id="rId12"/>
    <sheet name="Лист1" sheetId="38" r:id="rId13"/>
  </sheets>
  <definedNames>
    <definedName name="_Hlk452741034" localSheetId="2">'01.03.24  2024-2026 '!#REF!</definedName>
    <definedName name="_Hlk452741034" localSheetId="6">'01.07.22 ГКУ ЦБ 2022-2024 '!#REF!</definedName>
    <definedName name="_Hlk452741034" localSheetId="7">'01.10.21 ГКУ ЦБ 2022-2024 '!#REF!</definedName>
    <definedName name="_Hlk452741034" localSheetId="4">'10.05.23  2023-2025'!#REF!</definedName>
    <definedName name="_Hlk452741034" localSheetId="1">'18.03.24  2024-2026'!#REF!</definedName>
    <definedName name="_Hlk452741034" localSheetId="5">'24.06.22  2023-2025'!#REF!</definedName>
    <definedName name="_Hlk452741034" localSheetId="3">'31.05.23  2024-2026'!#REF!</definedName>
    <definedName name="_Hlk452741034" localSheetId="11">'ГКУ ЦБ 2020-2022'!#REF!</definedName>
    <definedName name="_Hlk452741034" localSheetId="10">'ГКУ ЦБ 2021-2023 '!#REF!</definedName>
    <definedName name="_Hlk452741034" localSheetId="9">'ГКУ ЦБ 2021-2023  (2)'!#REF!</definedName>
    <definedName name="_Hlk452741034" localSheetId="8">'ГКУ ЦБ 2022-2024'!#REF!</definedName>
    <definedName name="_xlnm._FilterDatabase" localSheetId="2" hidden="1">'01.03.24  2024-2026 '!$A$8:$W$223</definedName>
    <definedName name="_xlnm._FilterDatabase" localSheetId="6" hidden="1">'01.07.22 ГКУ ЦБ 2022-2024 '!$D$8:$R$182</definedName>
    <definedName name="_xlnm._FilterDatabase" localSheetId="7" hidden="1">'01.10.21 ГКУ ЦБ 2022-2024 '!$D$8:$R$183</definedName>
    <definedName name="_xlnm._FilterDatabase" localSheetId="4" hidden="1">'10.05.23  2023-2025'!$D$8:$R$196</definedName>
    <definedName name="_xlnm._FilterDatabase" localSheetId="1" hidden="1">'18.03.24  2024-2026'!$A$8:$V$207</definedName>
    <definedName name="_xlnm._FilterDatabase" localSheetId="5" hidden="1">'24.06.22  2023-2025'!$D$8:$R$182</definedName>
    <definedName name="_xlnm._FilterDatabase" localSheetId="3" hidden="1">'31.05.23  2024-2026'!$D$8:$R$196</definedName>
    <definedName name="_xlnm._FilterDatabase" localSheetId="11" hidden="1">'ГКУ ЦБ 2020-2022'!$D$8:$R$142</definedName>
    <definedName name="_xlnm._FilterDatabase" localSheetId="10" hidden="1">'ГКУ ЦБ 2021-2023 '!$D$8:$R$167</definedName>
    <definedName name="_xlnm._FilterDatabase" localSheetId="9" hidden="1">'ГКУ ЦБ 2021-2023  (2)'!$D$8:$R$167</definedName>
    <definedName name="_xlnm._FilterDatabase" localSheetId="8" hidden="1">'ГКУ ЦБ 2022-2024'!$D$8:$R$158</definedName>
    <definedName name="_Экспорт" localSheetId="2">#REF!</definedName>
    <definedName name="_Экспорт" localSheetId="6">#REF!</definedName>
    <definedName name="_Экспорт" localSheetId="7">#REF!</definedName>
    <definedName name="_Экспорт" localSheetId="4">#REF!</definedName>
    <definedName name="_Экспорт" localSheetId="1">#REF!</definedName>
    <definedName name="_Экспорт" localSheetId="5">#REF!</definedName>
    <definedName name="_Экспорт" localSheetId="3">#REF!</definedName>
    <definedName name="_Экспорт" localSheetId="11">#REF!</definedName>
    <definedName name="_Экспорт" localSheetId="10">#REF!</definedName>
    <definedName name="_Экспорт" localSheetId="9">#REF!</definedName>
    <definedName name="_Экспорт" localSheetId="8">#REF!</definedName>
    <definedName name="_Экспорт">#REF!</definedName>
    <definedName name="а1" localSheetId="2">#REF!</definedName>
    <definedName name="а1" localSheetId="6">#REF!</definedName>
    <definedName name="а1" localSheetId="7">#REF!</definedName>
    <definedName name="а1" localSheetId="4">#REF!</definedName>
    <definedName name="а1" localSheetId="1">#REF!</definedName>
    <definedName name="а1" localSheetId="5">#REF!</definedName>
    <definedName name="а1" localSheetId="3">#REF!</definedName>
    <definedName name="а1" localSheetId="11">#REF!</definedName>
    <definedName name="а1" localSheetId="10">#REF!</definedName>
    <definedName name="а1" localSheetId="9">#REF!</definedName>
    <definedName name="а1" localSheetId="8">#REF!</definedName>
    <definedName name="а1">#REF!</definedName>
    <definedName name="_xlnm.Print_Titles" localSheetId="2">'01.03.24  2024-2026 '!$A:$B,'01.03.24  2024-2026 '!$8:$10</definedName>
    <definedName name="_xlnm.Print_Titles" localSheetId="6">'01.07.22 ГКУ ЦБ 2022-2024 '!$A:$B,'01.07.22 ГКУ ЦБ 2022-2024 '!$8:$10</definedName>
    <definedName name="_xlnm.Print_Titles" localSheetId="7">'01.10.21 ГКУ ЦБ 2022-2024 '!$A:$B,'01.10.21 ГКУ ЦБ 2022-2024 '!$8:$10</definedName>
    <definedName name="_xlnm.Print_Titles" localSheetId="4">'10.05.23  2023-2025'!$A:$B,'10.05.23  2023-2025'!$8:$10</definedName>
    <definedName name="_xlnm.Print_Titles" localSheetId="1">'18.03.24  2024-2026'!$A:$B,'18.03.24  2024-2026'!$8:$10</definedName>
    <definedName name="_xlnm.Print_Titles" localSheetId="5">'24.06.22  2023-2025'!$A:$B,'24.06.22  2023-2025'!$8:$10</definedName>
    <definedName name="_xlnm.Print_Titles" localSheetId="3">'31.05.23  2024-2026'!$A:$B,'31.05.23  2024-2026'!$8:$10</definedName>
    <definedName name="_xlnm.Print_Titles" localSheetId="11">'ГКУ ЦБ 2020-2022'!$A:$B,'ГКУ ЦБ 2020-2022'!$8:$10</definedName>
    <definedName name="_xlnm.Print_Titles" localSheetId="10">'ГКУ ЦБ 2021-2023 '!$A:$B,'ГКУ ЦБ 2021-2023 '!$8:$10</definedName>
    <definedName name="_xlnm.Print_Titles" localSheetId="9">'ГКУ ЦБ 2021-2023  (2)'!$A:$B,'ГКУ ЦБ 2021-2023  (2)'!$8:$10</definedName>
    <definedName name="_xlnm.Print_Titles" localSheetId="8">'ГКУ ЦБ 2022-2024'!$A:$B,'ГКУ ЦБ 2022-2024'!$8:$10</definedName>
    <definedName name="_xlnm.Print_Area" localSheetId="2">'01.03.24  2024-2026 '!$A$1:$W$226</definedName>
    <definedName name="_xlnm.Print_Area" localSheetId="6">'01.07.22 ГКУ ЦБ 2022-2024 '!$A$1:$W$198</definedName>
    <definedName name="_xlnm.Print_Area" localSheetId="7">'01.10.21 ГКУ ЦБ 2022-2024 '!$A$1:$W$199</definedName>
    <definedName name="_xlnm.Print_Area" localSheetId="4">'10.05.23  2023-2025'!$A$1:$W$220</definedName>
    <definedName name="_xlnm.Print_Area" localSheetId="1">'18.03.24  2024-2026'!$A$1:$V$210</definedName>
    <definedName name="_xlnm.Print_Area" localSheetId="5">'24.06.22  2023-2025'!$A$1:$W$196</definedName>
    <definedName name="_xlnm.Print_Area" localSheetId="3">'31.05.23  2024-2026'!$A$1:$W$220</definedName>
    <definedName name="_xlnm.Print_Area" localSheetId="11">'ГКУ ЦБ 2020-2022'!$A$1:$X$148</definedName>
    <definedName name="_xlnm.Print_Area" localSheetId="10">'ГКУ ЦБ 2021-2023 '!$A$1:$X$178</definedName>
    <definedName name="_xlnm.Print_Area" localSheetId="9">'ГКУ ЦБ 2021-2023  (2)'!$A$1:$X$178</definedName>
    <definedName name="_xlnm.Print_Area" localSheetId="8">'ГКУ ЦБ 2022-2024'!$A$1:$X$169</definedName>
  </definedNames>
  <calcPr calcId="162913"/>
</workbook>
</file>

<file path=xl/calcChain.xml><?xml version="1.0" encoding="utf-8"?>
<calcChain xmlns="http://schemas.openxmlformats.org/spreadsheetml/2006/main">
  <c r="U198" i="49" l="1"/>
  <c r="J41" i="49" l="1"/>
  <c r="F41" i="49"/>
  <c r="J40" i="49"/>
  <c r="F40" i="49"/>
  <c r="K39" i="49"/>
  <c r="J39" i="49"/>
  <c r="F39" i="49"/>
  <c r="M38" i="49"/>
  <c r="O38" i="49" s="1"/>
  <c r="K28" i="49"/>
  <c r="K40" i="49" l="1"/>
  <c r="M39" i="49"/>
  <c r="K44" i="49"/>
  <c r="O39" i="49" l="1"/>
  <c r="M40" i="49"/>
  <c r="K41" i="49"/>
  <c r="O22" i="49"/>
  <c r="O20" i="49"/>
  <c r="O18" i="49"/>
  <c r="F135" i="49"/>
  <c r="F136" i="49"/>
  <c r="F134" i="49"/>
  <c r="F130" i="49"/>
  <c r="F131" i="49"/>
  <c r="F129" i="49"/>
  <c r="F125" i="49"/>
  <c r="F126" i="49"/>
  <c r="F124" i="49"/>
  <c r="F120" i="49"/>
  <c r="F121" i="49"/>
  <c r="F119" i="49"/>
  <c r="F115" i="49"/>
  <c r="F116" i="49"/>
  <c r="F114" i="49"/>
  <c r="F110" i="49"/>
  <c r="F111" i="49"/>
  <c r="F109" i="49"/>
  <c r="O40" i="49" l="1"/>
  <c r="U37" i="49" s="1"/>
  <c r="T37" i="49"/>
  <c r="M41" i="49"/>
  <c r="F106" i="49"/>
  <c r="F105" i="49"/>
  <c r="H136" i="49"/>
  <c r="G136" i="49"/>
  <c r="H135" i="49"/>
  <c r="G135" i="49"/>
  <c r="I134" i="49"/>
  <c r="I135" i="49" s="1"/>
  <c r="G134" i="49"/>
  <c r="O133" i="49"/>
  <c r="K133" i="49"/>
  <c r="H131" i="49"/>
  <c r="G131" i="49"/>
  <c r="H130" i="49"/>
  <c r="G130" i="49"/>
  <c r="I129" i="49"/>
  <c r="I130" i="49" s="1"/>
  <c r="I131" i="49" s="1"/>
  <c r="G129" i="49"/>
  <c r="O128" i="49"/>
  <c r="K128" i="49"/>
  <c r="H126" i="49"/>
  <c r="H125" i="49"/>
  <c r="O123" i="49"/>
  <c r="I123" i="49"/>
  <c r="K123" i="49" s="1"/>
  <c r="I119" i="49"/>
  <c r="O118" i="49"/>
  <c r="I114" i="49"/>
  <c r="I115" i="49" s="1"/>
  <c r="O113" i="49"/>
  <c r="K113" i="49"/>
  <c r="H111" i="49"/>
  <c r="H110" i="49"/>
  <c r="K109" i="49"/>
  <c r="K110" i="49" s="1"/>
  <c r="K111" i="49" s="1"/>
  <c r="G109" i="49"/>
  <c r="G110" i="49" s="1"/>
  <c r="M108" i="49"/>
  <c r="O108" i="49" s="1"/>
  <c r="G105" i="49"/>
  <c r="I104" i="49"/>
  <c r="O103" i="49"/>
  <c r="K103" i="49"/>
  <c r="K45" i="49"/>
  <c r="K34" i="49"/>
  <c r="K35" i="49" s="1"/>
  <c r="I195" i="49"/>
  <c r="I196" i="49" s="1"/>
  <c r="I197" i="49" s="1"/>
  <c r="G197" i="49"/>
  <c r="G196" i="49"/>
  <c r="F170" i="49"/>
  <c r="F171" i="49"/>
  <c r="F169" i="49"/>
  <c r="G170" i="49"/>
  <c r="G171" i="49" s="1"/>
  <c r="I169" i="49"/>
  <c r="K169" i="49" s="1"/>
  <c r="M169" i="49" s="1"/>
  <c r="O169" i="49" s="1"/>
  <c r="O168" i="49"/>
  <c r="H207" i="49"/>
  <c r="H206" i="49"/>
  <c r="I205" i="49"/>
  <c r="I206" i="49" s="1"/>
  <c r="O204" i="49"/>
  <c r="K204" i="49"/>
  <c r="G201" i="49"/>
  <c r="G202" i="49" s="1"/>
  <c r="I200" i="49"/>
  <c r="K200" i="49" s="1"/>
  <c r="M200" i="49" s="1"/>
  <c r="O200" i="49" s="1"/>
  <c r="T198" i="49" s="1"/>
  <c r="O199" i="49"/>
  <c r="K199" i="49"/>
  <c r="H197" i="49"/>
  <c r="F197" i="49"/>
  <c r="H196" i="49"/>
  <c r="F196" i="49"/>
  <c r="F195" i="49"/>
  <c r="O194" i="49"/>
  <c r="K194" i="49"/>
  <c r="H192" i="49"/>
  <c r="F192" i="49"/>
  <c r="H191" i="49"/>
  <c r="F191" i="49"/>
  <c r="I190" i="49"/>
  <c r="I191" i="49" s="1"/>
  <c r="F190" i="49"/>
  <c r="O189" i="49"/>
  <c r="K189" i="49"/>
  <c r="H187" i="49"/>
  <c r="F187" i="49"/>
  <c r="H186" i="49"/>
  <c r="F186" i="49"/>
  <c r="I185" i="49"/>
  <c r="K185" i="49" s="1"/>
  <c r="F185" i="49"/>
  <c r="H182" i="49"/>
  <c r="F182" i="49"/>
  <c r="H181" i="49"/>
  <c r="F181" i="49"/>
  <c r="I180" i="49"/>
  <c r="I181" i="49" s="1"/>
  <c r="F180" i="49"/>
  <c r="O179" i="49"/>
  <c r="K179" i="49"/>
  <c r="H177" i="49"/>
  <c r="F177" i="49"/>
  <c r="H176" i="49"/>
  <c r="F176" i="49"/>
  <c r="F175" i="49"/>
  <c r="O174" i="49"/>
  <c r="I174" i="49"/>
  <c r="I175" i="49" s="1"/>
  <c r="H166" i="49"/>
  <c r="G166" i="49"/>
  <c r="F166" i="49"/>
  <c r="H165" i="49"/>
  <c r="G165" i="49"/>
  <c r="F165" i="49"/>
  <c r="I164" i="49"/>
  <c r="I165" i="49" s="1"/>
  <c r="G164" i="49"/>
  <c r="F164" i="49"/>
  <c r="O163" i="49"/>
  <c r="K163" i="49"/>
  <c r="K161" i="49"/>
  <c r="M161" i="49" s="1"/>
  <c r="O161" i="49" s="1"/>
  <c r="F161" i="49"/>
  <c r="K160" i="49"/>
  <c r="F160" i="49"/>
  <c r="K159" i="49"/>
  <c r="M159" i="49" s="1"/>
  <c r="O159" i="49" s="1"/>
  <c r="F159" i="49"/>
  <c r="G157" i="49"/>
  <c r="F157" i="49"/>
  <c r="G156" i="49"/>
  <c r="F156" i="49"/>
  <c r="I155" i="49"/>
  <c r="I156" i="49" s="1"/>
  <c r="I157" i="49" s="1"/>
  <c r="G155" i="49"/>
  <c r="F155" i="49"/>
  <c r="F151" i="49"/>
  <c r="F150" i="49"/>
  <c r="I149" i="49"/>
  <c r="K149" i="49" s="1"/>
  <c r="M149" i="49" s="1"/>
  <c r="O149" i="49" s="1"/>
  <c r="F149" i="49"/>
  <c r="K148" i="49"/>
  <c r="M148" i="49" s="1"/>
  <c r="O148" i="49" s="1"/>
  <c r="F146" i="49"/>
  <c r="F145" i="49"/>
  <c r="I144" i="49"/>
  <c r="I145" i="49" s="1"/>
  <c r="F144" i="49"/>
  <c r="K143" i="49"/>
  <c r="M143" i="49" s="1"/>
  <c r="O143" i="49" s="1"/>
  <c r="O141" i="49"/>
  <c r="F141" i="49"/>
  <c r="O140" i="49"/>
  <c r="F140" i="49"/>
  <c r="O139" i="49"/>
  <c r="Q139" i="49" s="1"/>
  <c r="F139" i="49"/>
  <c r="F101" i="49"/>
  <c r="F100" i="49"/>
  <c r="I99" i="49"/>
  <c r="K99" i="49" s="1"/>
  <c r="M99" i="49" s="1"/>
  <c r="O99" i="49" s="1"/>
  <c r="F99" i="49"/>
  <c r="J96" i="49"/>
  <c r="F96" i="49"/>
  <c r="J95" i="49"/>
  <c r="F95" i="49"/>
  <c r="J94" i="49"/>
  <c r="I94" i="49"/>
  <c r="I95" i="49" s="1"/>
  <c r="I96" i="49" s="1"/>
  <c r="K96" i="49" s="1"/>
  <c r="M96" i="49" s="1"/>
  <c r="O96" i="49" s="1"/>
  <c r="F94" i="49"/>
  <c r="K93" i="49"/>
  <c r="M93" i="49" s="1"/>
  <c r="O93" i="49" s="1"/>
  <c r="J91" i="49"/>
  <c r="H91" i="49"/>
  <c r="F91" i="49"/>
  <c r="J90" i="49"/>
  <c r="H90" i="49"/>
  <c r="F90" i="49"/>
  <c r="K89" i="49"/>
  <c r="K90" i="49" s="1"/>
  <c r="J89" i="49"/>
  <c r="F89" i="49"/>
  <c r="M88" i="49"/>
  <c r="O88" i="49" s="1"/>
  <c r="J86" i="49"/>
  <c r="H86" i="49"/>
  <c r="F86" i="49"/>
  <c r="J85" i="49"/>
  <c r="H85" i="49"/>
  <c r="F85" i="49"/>
  <c r="K84" i="49"/>
  <c r="J84" i="49"/>
  <c r="F84" i="49"/>
  <c r="M83" i="49"/>
  <c r="O83" i="49" s="1"/>
  <c r="M81" i="49"/>
  <c r="F81" i="49"/>
  <c r="M80" i="49"/>
  <c r="O80" i="49" s="1"/>
  <c r="F80" i="49"/>
  <c r="M79" i="49"/>
  <c r="O79" i="49" s="1"/>
  <c r="F79" i="49"/>
  <c r="F76" i="49"/>
  <c r="F75" i="49"/>
  <c r="K74" i="49"/>
  <c r="M74" i="49" s="1"/>
  <c r="O74" i="49" s="1"/>
  <c r="F74" i="49"/>
  <c r="M73" i="49"/>
  <c r="O73" i="49" s="1"/>
  <c r="K69" i="49"/>
  <c r="M68" i="49"/>
  <c r="O68" i="49" s="1"/>
  <c r="K64" i="49"/>
  <c r="M63" i="49"/>
  <c r="O63" i="49" s="1"/>
  <c r="F61" i="49"/>
  <c r="F66" i="49" s="1"/>
  <c r="F71" i="49" s="1"/>
  <c r="F60" i="49"/>
  <c r="F65" i="49" s="1"/>
  <c r="F70" i="49" s="1"/>
  <c r="K59" i="49"/>
  <c r="M59" i="49" s="1"/>
  <c r="F59" i="49"/>
  <c r="F64" i="49" s="1"/>
  <c r="F69" i="49" s="1"/>
  <c r="M58" i="49"/>
  <c r="O58" i="49" s="1"/>
  <c r="F56" i="49"/>
  <c r="F55" i="49"/>
  <c r="K54" i="49"/>
  <c r="K55" i="49" s="1"/>
  <c r="K56" i="49" s="1"/>
  <c r="M56" i="49" s="1"/>
  <c r="O56" i="49" s="1"/>
  <c r="F54" i="49"/>
  <c r="M53" i="49"/>
  <c r="O53" i="49" s="1"/>
  <c r="F51" i="49"/>
  <c r="F50" i="49"/>
  <c r="J49" i="49"/>
  <c r="J50" i="49" s="1"/>
  <c r="J51" i="49" s="1"/>
  <c r="I49" i="49"/>
  <c r="K49" i="49" s="1"/>
  <c r="F49" i="49"/>
  <c r="M48" i="49"/>
  <c r="F46" i="49"/>
  <c r="F207" i="49" s="1"/>
  <c r="F45" i="49"/>
  <c r="F206" i="49" s="1"/>
  <c r="F44" i="49"/>
  <c r="F205" i="49" s="1"/>
  <c r="J36" i="49"/>
  <c r="H36" i="49"/>
  <c r="F36" i="49"/>
  <c r="J35" i="49"/>
  <c r="H35" i="49"/>
  <c r="F35" i="49"/>
  <c r="J34" i="49"/>
  <c r="F34" i="49"/>
  <c r="M33" i="49"/>
  <c r="H30" i="49"/>
  <c r="F30" i="49"/>
  <c r="H29" i="49"/>
  <c r="F29" i="49"/>
  <c r="K29" i="49"/>
  <c r="F28" i="49"/>
  <c r="M27" i="49"/>
  <c r="F23" i="49"/>
  <c r="I23" i="49"/>
  <c r="K23" i="49" s="1"/>
  <c r="M23" i="49" s="1"/>
  <c r="F21" i="49"/>
  <c r="I21" i="49"/>
  <c r="K21" i="49" s="1"/>
  <c r="M21" i="49" s="1"/>
  <c r="F19" i="49"/>
  <c r="F104" i="49" s="1"/>
  <c r="I19" i="49"/>
  <c r="K19" i="49" s="1"/>
  <c r="M19" i="49" s="1"/>
  <c r="I14" i="49"/>
  <c r="I15" i="49" s="1"/>
  <c r="I16" i="49" s="1"/>
  <c r="W25" i="48"/>
  <c r="K60" i="49" l="1"/>
  <c r="M60" i="49" s="1"/>
  <c r="O60" i="49" s="1"/>
  <c r="U57" i="49" s="1"/>
  <c r="O41" i="49"/>
  <c r="V37" i="49" s="1"/>
  <c r="M110" i="49"/>
  <c r="O110" i="49" s="1"/>
  <c r="U107" i="49" s="1"/>
  <c r="K131" i="49"/>
  <c r="M131" i="49" s="1"/>
  <c r="I124" i="49"/>
  <c r="I125" i="49" s="1"/>
  <c r="K125" i="49" s="1"/>
  <c r="K129" i="49"/>
  <c r="M129" i="49" s="1"/>
  <c r="M109" i="49"/>
  <c r="O109" i="49" s="1"/>
  <c r="T107" i="49" s="1"/>
  <c r="K114" i="49"/>
  <c r="M114" i="49" s="1"/>
  <c r="O114" i="49" s="1"/>
  <c r="T112" i="49" s="1"/>
  <c r="K164" i="49"/>
  <c r="M164" i="49" s="1"/>
  <c r="O164" i="49" s="1"/>
  <c r="T162" i="49" s="1"/>
  <c r="K135" i="49"/>
  <c r="M135" i="49" s="1"/>
  <c r="I136" i="49"/>
  <c r="K136" i="49" s="1"/>
  <c r="M136" i="49" s="1"/>
  <c r="K115" i="49"/>
  <c r="M115" i="49" s="1"/>
  <c r="I116" i="49"/>
  <c r="I120" i="49"/>
  <c r="G106" i="49"/>
  <c r="G111" i="49"/>
  <c r="M111" i="49" s="1"/>
  <c r="O111" i="49" s="1"/>
  <c r="K130" i="49"/>
  <c r="M130" i="49" s="1"/>
  <c r="K104" i="49"/>
  <c r="M104" i="49" s="1"/>
  <c r="K119" i="49"/>
  <c r="M119" i="49" s="1"/>
  <c r="I105" i="49"/>
  <c r="K105" i="49" s="1"/>
  <c r="M105" i="49" s="1"/>
  <c r="K134" i="49"/>
  <c r="O59" i="49"/>
  <c r="U78" i="49"/>
  <c r="O81" i="49"/>
  <c r="V52" i="49"/>
  <c r="V92" i="49"/>
  <c r="K46" i="49"/>
  <c r="K36" i="49"/>
  <c r="K94" i="49"/>
  <c r="M94" i="49" s="1"/>
  <c r="I50" i="49"/>
  <c r="I51" i="49" s="1"/>
  <c r="K155" i="49"/>
  <c r="M155" i="49" s="1"/>
  <c r="I170" i="49"/>
  <c r="I207" i="49"/>
  <c r="K207" i="49" s="1"/>
  <c r="K206" i="49"/>
  <c r="K205" i="49"/>
  <c r="T147" i="49"/>
  <c r="K175" i="49"/>
  <c r="M175" i="49" s="1"/>
  <c r="I176" i="49"/>
  <c r="I177" i="49" s="1"/>
  <c r="K177" i="49" s="1"/>
  <c r="M177" i="49" s="1"/>
  <c r="I186" i="49"/>
  <c r="I187" i="49" s="1"/>
  <c r="K187" i="49" s="1"/>
  <c r="M187" i="49" s="1"/>
  <c r="Q140" i="49"/>
  <c r="U138" i="49" s="1"/>
  <c r="M54" i="49"/>
  <c r="K144" i="49"/>
  <c r="M144" i="49" s="1"/>
  <c r="O144" i="49" s="1"/>
  <c r="T142" i="49" s="1"/>
  <c r="K174" i="49"/>
  <c r="Q141" i="49"/>
  <c r="V138" i="49" s="1"/>
  <c r="K75" i="49"/>
  <c r="M29" i="49"/>
  <c r="O29" i="49" s="1"/>
  <c r="U26" i="49" s="1"/>
  <c r="U25" i="49" s="1"/>
  <c r="K30" i="49"/>
  <c r="T97" i="49"/>
  <c r="T17" i="49"/>
  <c r="V17" i="49"/>
  <c r="K16" i="49"/>
  <c r="U17" i="49"/>
  <c r="M49" i="49"/>
  <c r="K15" i="49"/>
  <c r="M28" i="49"/>
  <c r="O28" i="49" s="1"/>
  <c r="T26" i="49" s="1"/>
  <c r="T25" i="49" s="1"/>
  <c r="K91" i="49"/>
  <c r="M90" i="49"/>
  <c r="K14" i="49"/>
  <c r="M34" i="49"/>
  <c r="M55" i="49"/>
  <c r="I166" i="49"/>
  <c r="K166" i="49" s="1"/>
  <c r="M166" i="49" s="1"/>
  <c r="K165" i="49"/>
  <c r="M165" i="49" s="1"/>
  <c r="I192" i="49"/>
  <c r="K192" i="49" s="1"/>
  <c r="K191" i="49"/>
  <c r="K95" i="49"/>
  <c r="M95" i="49" s="1"/>
  <c r="K157" i="49"/>
  <c r="M157" i="49" s="1"/>
  <c r="V158" i="49"/>
  <c r="M44" i="49"/>
  <c r="I146" i="49"/>
  <c r="K145" i="49"/>
  <c r="M145" i="49" s="1"/>
  <c r="I182" i="49"/>
  <c r="K182" i="49" s="1"/>
  <c r="K181" i="49"/>
  <c r="K197" i="49"/>
  <c r="K196" i="49"/>
  <c r="K70" i="49"/>
  <c r="K85" i="49"/>
  <c r="M84" i="49"/>
  <c r="K156" i="49"/>
  <c r="M156" i="49" s="1"/>
  <c r="K65" i="49"/>
  <c r="M64" i="49"/>
  <c r="M69" i="49"/>
  <c r="T72" i="49"/>
  <c r="T78" i="49"/>
  <c r="I150" i="49"/>
  <c r="T138" i="49"/>
  <c r="M160" i="49"/>
  <c r="K180" i="49"/>
  <c r="M185" i="49"/>
  <c r="K186" i="49"/>
  <c r="K190" i="49"/>
  <c r="I201" i="49"/>
  <c r="T158" i="49"/>
  <c r="K195" i="49"/>
  <c r="M89" i="49"/>
  <c r="O89" i="49" s="1"/>
  <c r="I100" i="49"/>
  <c r="K28" i="48"/>
  <c r="I126" i="49" l="1"/>
  <c r="K126" i="49" s="1"/>
  <c r="M126" i="49" s="1"/>
  <c r="M28" i="48"/>
  <c r="O28" i="48" s="1"/>
  <c r="O155" i="49"/>
  <c r="T153" i="49" s="1"/>
  <c r="O157" i="49"/>
  <c r="V153" i="49" s="1"/>
  <c r="M15" i="49"/>
  <c r="U13" i="49" s="1"/>
  <c r="U12" i="49" s="1"/>
  <c r="U11" i="49" s="1"/>
  <c r="M14" i="49"/>
  <c r="T13" i="49" s="1"/>
  <c r="T12" i="49" s="1"/>
  <c r="T11" i="49" s="1"/>
  <c r="K124" i="49"/>
  <c r="M124" i="49" s="1"/>
  <c r="O124" i="49" s="1"/>
  <c r="T122" i="49" s="1"/>
  <c r="O156" i="49"/>
  <c r="U153" i="49" s="1"/>
  <c r="O160" i="49"/>
  <c r="U158" i="49" s="1"/>
  <c r="M16" i="49"/>
  <c r="V13" i="49" s="1"/>
  <c r="V12" i="49" s="1"/>
  <c r="V11" i="49" s="1"/>
  <c r="K61" i="49"/>
  <c r="M61" i="49" s="1"/>
  <c r="O61" i="49" s="1"/>
  <c r="O130" i="49"/>
  <c r="U127" i="49" s="1"/>
  <c r="O129" i="49"/>
  <c r="T127" i="49" s="1"/>
  <c r="K176" i="49"/>
  <c r="M176" i="49" s="1"/>
  <c r="O136" i="49"/>
  <c r="O135" i="49"/>
  <c r="U132" i="49" s="1"/>
  <c r="O131" i="49"/>
  <c r="O105" i="49"/>
  <c r="U102" i="49" s="1"/>
  <c r="O119" i="49"/>
  <c r="O104" i="49"/>
  <c r="T102" i="49" s="1"/>
  <c r="O115" i="49"/>
  <c r="S162" i="49"/>
  <c r="I121" i="49"/>
  <c r="K120" i="49"/>
  <c r="M120" i="49" s="1"/>
  <c r="I106" i="49"/>
  <c r="K106" i="49" s="1"/>
  <c r="M106" i="49" s="1"/>
  <c r="K116" i="49"/>
  <c r="M116" i="49" s="1"/>
  <c r="M125" i="49"/>
  <c r="M134" i="49"/>
  <c r="V107" i="49"/>
  <c r="T57" i="49"/>
  <c r="O64" i="49"/>
  <c r="O84" i="49"/>
  <c r="O55" i="49"/>
  <c r="O49" i="49"/>
  <c r="T47" i="49" s="1"/>
  <c r="V78" i="49"/>
  <c r="O54" i="49"/>
  <c r="T52" i="49" s="1"/>
  <c r="O69" i="49"/>
  <c r="T67" i="49" s="1"/>
  <c r="O90" i="49"/>
  <c r="U87" i="49" s="1"/>
  <c r="O95" i="49"/>
  <c r="U92" i="49" s="1"/>
  <c r="O94" i="49"/>
  <c r="T92" i="49" s="1"/>
  <c r="K50" i="49"/>
  <c r="M50" i="49" s="1"/>
  <c r="O44" i="49"/>
  <c r="O177" i="49"/>
  <c r="V173" i="49" s="1"/>
  <c r="O185" i="49"/>
  <c r="T183" i="49" s="1"/>
  <c r="O34" i="49"/>
  <c r="T32" i="49" s="1"/>
  <c r="O175" i="49"/>
  <c r="O187" i="49"/>
  <c r="O165" i="49"/>
  <c r="O166" i="49"/>
  <c r="K170" i="49"/>
  <c r="M170" i="49" s="1"/>
  <c r="O170" i="49" s="1"/>
  <c r="I171" i="49"/>
  <c r="S167" i="49"/>
  <c r="M205" i="49"/>
  <c r="O205" i="49" s="1"/>
  <c r="M206" i="49"/>
  <c r="M207" i="49"/>
  <c r="O145" i="49"/>
  <c r="U142" i="49" s="1"/>
  <c r="M75" i="49"/>
  <c r="K76" i="49"/>
  <c r="M76" i="49" s="1"/>
  <c r="K66" i="49"/>
  <c r="M65" i="49"/>
  <c r="K71" i="49"/>
  <c r="M70" i="49"/>
  <c r="M191" i="49"/>
  <c r="M195" i="49"/>
  <c r="K150" i="49"/>
  <c r="I151" i="49"/>
  <c r="K151" i="49" s="1"/>
  <c r="M196" i="49"/>
  <c r="M192" i="49"/>
  <c r="M45" i="49"/>
  <c r="M91" i="49"/>
  <c r="M180" i="49"/>
  <c r="T137" i="49"/>
  <c r="K201" i="49"/>
  <c r="M201" i="49" s="1"/>
  <c r="O201" i="49" s="1"/>
  <c r="I202" i="49"/>
  <c r="M190" i="49"/>
  <c r="K86" i="49"/>
  <c r="M85" i="49"/>
  <c r="M197" i="49"/>
  <c r="M181" i="49"/>
  <c r="M30" i="49"/>
  <c r="O30" i="49" s="1"/>
  <c r="V26" i="49" s="1"/>
  <c r="V25" i="49" s="1"/>
  <c r="K100" i="49"/>
  <c r="I101" i="49"/>
  <c r="K101" i="49" s="1"/>
  <c r="M186" i="49"/>
  <c r="M35" i="49"/>
  <c r="T87" i="49"/>
  <c r="M182" i="49"/>
  <c r="K146" i="49"/>
  <c r="M146" i="49" s="1"/>
  <c r="K51" i="49"/>
  <c r="M51" i="49" s="1"/>
  <c r="H30" i="48"/>
  <c r="F30" i="48"/>
  <c r="H29" i="48"/>
  <c r="F29" i="48"/>
  <c r="F28" i="48"/>
  <c r="M27" i="48"/>
  <c r="W28" i="48" l="1"/>
  <c r="O207" i="49"/>
  <c r="V203" i="49" s="1"/>
  <c r="O206" i="49"/>
  <c r="U203" i="49" s="1"/>
  <c r="U52" i="49"/>
  <c r="V127" i="49"/>
  <c r="O134" i="49"/>
  <c r="T132" i="49" s="1"/>
  <c r="V132" i="49"/>
  <c r="T117" i="49"/>
  <c r="T62" i="49"/>
  <c r="O106" i="49"/>
  <c r="V102" i="49" s="1"/>
  <c r="O120" i="49"/>
  <c r="U117" i="49" s="1"/>
  <c r="U112" i="49"/>
  <c r="V57" i="49"/>
  <c r="O116" i="49"/>
  <c r="O126" i="49"/>
  <c r="V122" i="49" s="1"/>
  <c r="O125" i="49"/>
  <c r="T42" i="49"/>
  <c r="K121" i="49"/>
  <c r="M121" i="49" s="1"/>
  <c r="O51" i="49"/>
  <c r="V47" i="49" s="1"/>
  <c r="O85" i="49"/>
  <c r="T82" i="49"/>
  <c r="O76" i="49"/>
  <c r="V72" i="49" s="1"/>
  <c r="O70" i="49"/>
  <c r="U67" i="49" s="1"/>
  <c r="O65" i="49"/>
  <c r="U62" i="49" s="1"/>
  <c r="O75" i="49"/>
  <c r="U72" i="49" s="1"/>
  <c r="O50" i="49"/>
  <c r="O91" i="49"/>
  <c r="O45" i="49"/>
  <c r="U42" i="49" s="1"/>
  <c r="O186" i="49"/>
  <c r="U183" i="49" s="1"/>
  <c r="O35" i="49"/>
  <c r="U32" i="49" s="1"/>
  <c r="O176" i="49"/>
  <c r="O182" i="49"/>
  <c r="V178" i="49" s="1"/>
  <c r="O192" i="49"/>
  <c r="O191" i="49"/>
  <c r="U188" i="49" s="1"/>
  <c r="T173" i="49"/>
  <c r="K171" i="49"/>
  <c r="M171" i="49" s="1"/>
  <c r="O171" i="49" s="1"/>
  <c r="V167" i="49" s="1"/>
  <c r="O181" i="49"/>
  <c r="U178" i="49" s="1"/>
  <c r="O190" i="49"/>
  <c r="T188" i="49" s="1"/>
  <c r="O180" i="49"/>
  <c r="T178" i="49" s="1"/>
  <c r="O195" i="49"/>
  <c r="V183" i="49"/>
  <c r="O197" i="49"/>
  <c r="O196" i="49"/>
  <c r="V162" i="49"/>
  <c r="U162" i="49"/>
  <c r="T167" i="49"/>
  <c r="U167" i="49"/>
  <c r="S203" i="49"/>
  <c r="T203" i="49"/>
  <c r="O146" i="49"/>
  <c r="M36" i="49"/>
  <c r="M100" i="49"/>
  <c r="K202" i="49"/>
  <c r="M202" i="49" s="1"/>
  <c r="O202" i="49" s="1"/>
  <c r="V198" i="49" s="1"/>
  <c r="M86" i="49"/>
  <c r="M46" i="49"/>
  <c r="M71" i="49"/>
  <c r="M66" i="49"/>
  <c r="M151" i="49"/>
  <c r="M101" i="49"/>
  <c r="M150" i="49"/>
  <c r="T26" i="48"/>
  <c r="K29" i="48"/>
  <c r="I144" i="48"/>
  <c r="I145" i="48" s="1"/>
  <c r="I146" i="48" s="1"/>
  <c r="T31" i="49" l="1"/>
  <c r="M29" i="48"/>
  <c r="O29" i="48" s="1"/>
  <c r="W29" i="48"/>
  <c r="T77" i="49"/>
  <c r="T193" i="49"/>
  <c r="O121" i="49"/>
  <c r="V117" i="49" s="1"/>
  <c r="V112" i="49"/>
  <c r="U122" i="49"/>
  <c r="U173" i="49"/>
  <c r="O71" i="49"/>
  <c r="V67" i="49" s="1"/>
  <c r="V87" i="49"/>
  <c r="U82" i="49"/>
  <c r="O101" i="49"/>
  <c r="V97" i="49" s="1"/>
  <c r="O66" i="49"/>
  <c r="V62" i="49" s="1"/>
  <c r="U47" i="49"/>
  <c r="U31" i="49" s="1"/>
  <c r="O100" i="49"/>
  <c r="U97" i="49" s="1"/>
  <c r="O86" i="49"/>
  <c r="V82" i="49" s="1"/>
  <c r="T152" i="49"/>
  <c r="O46" i="49"/>
  <c r="V42" i="49" s="1"/>
  <c r="T172" i="49"/>
  <c r="O36" i="49"/>
  <c r="V32" i="49" s="1"/>
  <c r="V188" i="49"/>
  <c r="V193" i="49"/>
  <c r="U193" i="49"/>
  <c r="O150" i="49"/>
  <c r="U147" i="49" s="1"/>
  <c r="U137" i="49" s="1"/>
  <c r="O151" i="49"/>
  <c r="V142" i="49"/>
  <c r="K30" i="48"/>
  <c r="U26" i="48"/>
  <c r="H222" i="48"/>
  <c r="G222" i="48"/>
  <c r="F222" i="48"/>
  <c r="H221" i="48"/>
  <c r="G221" i="48"/>
  <c r="F221" i="48"/>
  <c r="I220" i="48"/>
  <c r="I221" i="48" s="1"/>
  <c r="G220" i="48"/>
  <c r="F220" i="48"/>
  <c r="O219" i="48"/>
  <c r="K219" i="48"/>
  <c r="H217" i="48"/>
  <c r="G217" i="48"/>
  <c r="F217" i="48"/>
  <c r="H216" i="48"/>
  <c r="G216" i="48"/>
  <c r="F216" i="48"/>
  <c r="I215" i="48"/>
  <c r="I216" i="48" s="1"/>
  <c r="G215" i="48"/>
  <c r="F215" i="48"/>
  <c r="O214" i="48"/>
  <c r="K214" i="48"/>
  <c r="H212" i="48"/>
  <c r="H211" i="48"/>
  <c r="O209" i="48"/>
  <c r="I209" i="48"/>
  <c r="I210" i="48" s="1"/>
  <c r="F207" i="48"/>
  <c r="F206" i="48"/>
  <c r="I205" i="48"/>
  <c r="F205" i="48"/>
  <c r="O204" i="48"/>
  <c r="F202" i="48"/>
  <c r="F201" i="48"/>
  <c r="I200" i="48"/>
  <c r="K200" i="48" s="1"/>
  <c r="M200" i="48" s="1"/>
  <c r="F200" i="48"/>
  <c r="O199" i="48"/>
  <c r="K199" i="48"/>
  <c r="H197" i="48"/>
  <c r="F197" i="48"/>
  <c r="H196" i="48"/>
  <c r="F196" i="48"/>
  <c r="K195" i="48"/>
  <c r="K196" i="48" s="1"/>
  <c r="K197" i="48" s="1"/>
  <c r="G195" i="48"/>
  <c r="G196" i="48" s="1"/>
  <c r="F195" i="48"/>
  <c r="M194" i="48"/>
  <c r="O194" i="48" s="1"/>
  <c r="F192" i="48"/>
  <c r="G191" i="48"/>
  <c r="F191" i="48"/>
  <c r="I190" i="48"/>
  <c r="I191" i="48" s="1"/>
  <c r="F190" i="48"/>
  <c r="O189" i="48"/>
  <c r="K189" i="48"/>
  <c r="W187" i="48"/>
  <c r="F186" i="48"/>
  <c r="G185" i="48"/>
  <c r="F185" i="48"/>
  <c r="I184" i="48"/>
  <c r="I185" i="48" s="1"/>
  <c r="I186" i="48" s="1"/>
  <c r="F184" i="48"/>
  <c r="O183" i="48"/>
  <c r="K183" i="48"/>
  <c r="G180" i="48"/>
  <c r="G181" i="48" s="1"/>
  <c r="I179" i="48"/>
  <c r="K179" i="48" s="1"/>
  <c r="M179" i="48" s="1"/>
  <c r="T177" i="48" s="1"/>
  <c r="O178" i="48"/>
  <c r="K178" i="48"/>
  <c r="H176" i="48"/>
  <c r="F176" i="48"/>
  <c r="H175" i="48"/>
  <c r="F175" i="48"/>
  <c r="F174" i="48"/>
  <c r="O173" i="48"/>
  <c r="I173" i="48"/>
  <c r="I174" i="48" s="1"/>
  <c r="H171" i="48"/>
  <c r="F171" i="48"/>
  <c r="H170" i="48"/>
  <c r="F170" i="48"/>
  <c r="I169" i="48"/>
  <c r="I170" i="48" s="1"/>
  <c r="F169" i="48"/>
  <c r="O168" i="48"/>
  <c r="K168" i="48"/>
  <c r="H166" i="48"/>
  <c r="F166" i="48"/>
  <c r="H165" i="48"/>
  <c r="F165" i="48"/>
  <c r="I164" i="48"/>
  <c r="F164" i="48"/>
  <c r="H161" i="48"/>
  <c r="F161" i="48"/>
  <c r="H160" i="48"/>
  <c r="F160" i="48"/>
  <c r="I159" i="48"/>
  <c r="I160" i="48" s="1"/>
  <c r="F159" i="48"/>
  <c r="O158" i="48"/>
  <c r="K158" i="48"/>
  <c r="H156" i="48"/>
  <c r="F156" i="48"/>
  <c r="H155" i="48"/>
  <c r="F155" i="48"/>
  <c r="F154" i="48"/>
  <c r="O153" i="48"/>
  <c r="I153" i="48"/>
  <c r="K153" i="48" s="1"/>
  <c r="H151" i="48"/>
  <c r="F151" i="48"/>
  <c r="H150" i="48"/>
  <c r="F150" i="48"/>
  <c r="I149" i="48"/>
  <c r="K149" i="48" s="1"/>
  <c r="M149" i="48" s="1"/>
  <c r="F149" i="48"/>
  <c r="O148" i="48"/>
  <c r="K148" i="48"/>
  <c r="H146" i="48"/>
  <c r="G146" i="48"/>
  <c r="F146" i="48"/>
  <c r="H145" i="48"/>
  <c r="G145" i="48"/>
  <c r="F145" i="48"/>
  <c r="G144" i="48"/>
  <c r="F144" i="48"/>
  <c r="O143" i="48"/>
  <c r="K143" i="48"/>
  <c r="K141" i="48"/>
  <c r="F141" i="48"/>
  <c r="K140" i="48"/>
  <c r="M140" i="48" s="1"/>
  <c r="F140" i="48"/>
  <c r="K139" i="48"/>
  <c r="M139" i="48" s="1"/>
  <c r="F139" i="48"/>
  <c r="G137" i="48"/>
  <c r="F137" i="48"/>
  <c r="G136" i="48"/>
  <c r="F136" i="48"/>
  <c r="I135" i="48"/>
  <c r="I136" i="48" s="1"/>
  <c r="I137" i="48" s="1"/>
  <c r="G135" i="48"/>
  <c r="F135" i="48"/>
  <c r="W132" i="48"/>
  <c r="F131" i="48"/>
  <c r="F130" i="48"/>
  <c r="I129" i="48"/>
  <c r="I130" i="48" s="1"/>
  <c r="F129" i="48"/>
  <c r="K128" i="48"/>
  <c r="M128" i="48" s="1"/>
  <c r="O128" i="48" s="1"/>
  <c r="H126" i="48"/>
  <c r="F126" i="48"/>
  <c r="H125" i="48"/>
  <c r="F125" i="48"/>
  <c r="F124" i="48"/>
  <c r="I123" i="48"/>
  <c r="I124" i="48" s="1"/>
  <c r="K124" i="48" s="1"/>
  <c r="F121" i="48"/>
  <c r="F120" i="48"/>
  <c r="I119" i="48"/>
  <c r="F119" i="48"/>
  <c r="K118" i="48"/>
  <c r="M118" i="48" s="1"/>
  <c r="O118" i="48" s="1"/>
  <c r="O116" i="48"/>
  <c r="Q116" i="48" s="1"/>
  <c r="F116" i="48"/>
  <c r="O115" i="48"/>
  <c r="Q115" i="48" s="1"/>
  <c r="W115" i="48" s="1"/>
  <c r="F115" i="48"/>
  <c r="O114" i="48"/>
  <c r="F114" i="48"/>
  <c r="W112" i="48"/>
  <c r="F111" i="48"/>
  <c r="F110" i="48"/>
  <c r="I109" i="48"/>
  <c r="F109" i="48"/>
  <c r="J106" i="48"/>
  <c r="F106" i="48"/>
  <c r="J105" i="48"/>
  <c r="F105" i="48"/>
  <c r="J104" i="48"/>
  <c r="I104" i="48"/>
  <c r="K104" i="48" s="1"/>
  <c r="M104" i="48" s="1"/>
  <c r="O104" i="48" s="1"/>
  <c r="T102" i="48" s="1"/>
  <c r="F104" i="48"/>
  <c r="K103" i="48"/>
  <c r="M103" i="48" s="1"/>
  <c r="O103" i="48" s="1"/>
  <c r="J101" i="48"/>
  <c r="H101" i="48"/>
  <c r="F101" i="48"/>
  <c r="J100" i="48"/>
  <c r="H100" i="48"/>
  <c r="F100" i="48"/>
  <c r="K99" i="48"/>
  <c r="J99" i="48"/>
  <c r="F99" i="48"/>
  <c r="M98" i="48"/>
  <c r="O98" i="48" s="1"/>
  <c r="J96" i="48"/>
  <c r="H96" i="48"/>
  <c r="F96" i="48"/>
  <c r="J95" i="48"/>
  <c r="H95" i="48"/>
  <c r="F95" i="48"/>
  <c r="K94" i="48"/>
  <c r="J94" i="48"/>
  <c r="F94" i="48"/>
  <c r="M93" i="48"/>
  <c r="O93" i="48" s="1"/>
  <c r="M91" i="48"/>
  <c r="O91" i="48" s="1"/>
  <c r="W91" i="48" s="1"/>
  <c r="F91" i="48"/>
  <c r="M90" i="48"/>
  <c r="F90" i="48"/>
  <c r="M89" i="48"/>
  <c r="O89" i="48" s="1"/>
  <c r="W89" i="48" s="1"/>
  <c r="F89" i="48"/>
  <c r="W87" i="48"/>
  <c r="F86" i="48"/>
  <c r="K85" i="48"/>
  <c r="F85" i="48"/>
  <c r="K84" i="48"/>
  <c r="F84" i="48"/>
  <c r="M83" i="48"/>
  <c r="O83" i="48" s="1"/>
  <c r="K79" i="48"/>
  <c r="M79" i="48" s="1"/>
  <c r="O79" i="48" s="1"/>
  <c r="T77" i="48" s="1"/>
  <c r="M78" i="48"/>
  <c r="O78" i="48" s="1"/>
  <c r="K74" i="48"/>
  <c r="M74" i="48" s="1"/>
  <c r="M73" i="48"/>
  <c r="O73" i="48" s="1"/>
  <c r="F71" i="48"/>
  <c r="F76" i="48" s="1"/>
  <c r="F81" i="48" s="1"/>
  <c r="F70" i="48"/>
  <c r="F75" i="48" s="1"/>
  <c r="F80" i="48" s="1"/>
  <c r="K69" i="48"/>
  <c r="K70" i="48" s="1"/>
  <c r="F69" i="48"/>
  <c r="F74" i="48" s="1"/>
  <c r="F79" i="48" s="1"/>
  <c r="M68" i="48"/>
  <c r="O68" i="48" s="1"/>
  <c r="F66" i="48"/>
  <c r="F65" i="48"/>
  <c r="K64" i="48"/>
  <c r="M64" i="48" s="1"/>
  <c r="O64" i="48" s="1"/>
  <c r="F64" i="48"/>
  <c r="M63" i="48"/>
  <c r="O63" i="48" s="1"/>
  <c r="F61" i="48"/>
  <c r="F60" i="48"/>
  <c r="J59" i="48"/>
  <c r="J60" i="48" s="1"/>
  <c r="J61" i="48" s="1"/>
  <c r="I59" i="48"/>
  <c r="F59" i="48"/>
  <c r="M58" i="48"/>
  <c r="F56" i="48"/>
  <c r="F55" i="48"/>
  <c r="K54" i="48"/>
  <c r="M54" i="48" s="1"/>
  <c r="F54" i="48"/>
  <c r="M53" i="48"/>
  <c r="O53" i="48" s="1"/>
  <c r="F51" i="48"/>
  <c r="F50" i="48"/>
  <c r="K49" i="48"/>
  <c r="M49" i="48" s="1"/>
  <c r="O49" i="48" s="1"/>
  <c r="F49" i="48"/>
  <c r="J46" i="48"/>
  <c r="F46" i="48"/>
  <c r="J45" i="48"/>
  <c r="F45" i="48"/>
  <c r="K44" i="48"/>
  <c r="K45" i="48" s="1"/>
  <c r="J44" i="48"/>
  <c r="F44" i="48"/>
  <c r="M43" i="48"/>
  <c r="O43" i="48" s="1"/>
  <c r="J41" i="48"/>
  <c r="F41" i="48"/>
  <c r="J40" i="48"/>
  <c r="F40" i="48"/>
  <c r="K39" i="48"/>
  <c r="M39" i="48" s="1"/>
  <c r="O39" i="48" s="1"/>
  <c r="T37" i="48" s="1"/>
  <c r="J39" i="48"/>
  <c r="F39" i="48"/>
  <c r="M38" i="48"/>
  <c r="O38" i="48" s="1"/>
  <c r="J36" i="48"/>
  <c r="H36" i="48"/>
  <c r="F36" i="48"/>
  <c r="J35" i="48"/>
  <c r="H35" i="48"/>
  <c r="F35" i="48"/>
  <c r="K34" i="48"/>
  <c r="K35" i="48" s="1"/>
  <c r="J34" i="48"/>
  <c r="F34" i="48"/>
  <c r="M33" i="48"/>
  <c r="W31" i="48"/>
  <c r="W24" i="48"/>
  <c r="F23" i="48"/>
  <c r="O22" i="48"/>
  <c r="I23" i="48" s="1"/>
  <c r="K23" i="48" s="1"/>
  <c r="M23" i="48" s="1"/>
  <c r="V17" i="48" s="1"/>
  <c r="F21" i="48"/>
  <c r="O20" i="48"/>
  <c r="I21" i="48" s="1"/>
  <c r="K21" i="48" s="1"/>
  <c r="M21" i="48" s="1"/>
  <c r="U17" i="48" s="1"/>
  <c r="F19" i="48"/>
  <c r="O18" i="48"/>
  <c r="I19" i="48" s="1"/>
  <c r="K19" i="48" s="1"/>
  <c r="M19" i="48" s="1"/>
  <c r="T17" i="48" s="1"/>
  <c r="I14" i="48"/>
  <c r="K14" i="48" s="1"/>
  <c r="M14" i="48" s="1"/>
  <c r="T13" i="48" s="1"/>
  <c r="W12" i="48"/>
  <c r="W11" i="48"/>
  <c r="T24" i="49" l="1"/>
  <c r="U152" i="49"/>
  <c r="V31" i="49"/>
  <c r="V152" i="49"/>
  <c r="I15" i="48"/>
  <c r="I154" i="48"/>
  <c r="V77" i="49"/>
  <c r="M30" i="48"/>
  <c r="O30" i="48" s="1"/>
  <c r="V26" i="48" s="1"/>
  <c r="M44" i="48"/>
  <c r="O44" i="48" s="1"/>
  <c r="T42" i="48" s="1"/>
  <c r="U77" i="49"/>
  <c r="U24" i="49" s="1"/>
  <c r="V172" i="49"/>
  <c r="U172" i="49"/>
  <c r="V147" i="49"/>
  <c r="V137" i="49" s="1"/>
  <c r="K184" i="48"/>
  <c r="M184" i="48" s="1"/>
  <c r="K123" i="48"/>
  <c r="K50" i="48"/>
  <c r="M50" i="48" s="1"/>
  <c r="O50" i="48" s="1"/>
  <c r="U47" i="48" s="1"/>
  <c r="K55" i="48"/>
  <c r="K56" i="48" s="1"/>
  <c r="M56" i="48" s="1"/>
  <c r="O56" i="48" s="1"/>
  <c r="V52" i="48" s="1"/>
  <c r="K185" i="48"/>
  <c r="M185" i="48" s="1"/>
  <c r="W185" i="48" s="1"/>
  <c r="M34" i="48"/>
  <c r="O34" i="48" s="1"/>
  <c r="T32" i="48" s="1"/>
  <c r="K75" i="48"/>
  <c r="K76" i="48" s="1"/>
  <c r="M76" i="48" s="1"/>
  <c r="O76" i="48" s="1"/>
  <c r="V72" i="48" s="1"/>
  <c r="K173" i="48"/>
  <c r="K215" i="48"/>
  <c r="W49" i="48"/>
  <c r="T47" i="48"/>
  <c r="K191" i="48"/>
  <c r="M191" i="48" s="1"/>
  <c r="O191" i="48" s="1"/>
  <c r="U188" i="48" s="1"/>
  <c r="K145" i="48"/>
  <c r="M145" i="48" s="1"/>
  <c r="O145" i="48" s="1"/>
  <c r="U142" i="48" s="1"/>
  <c r="K129" i="48"/>
  <c r="M129" i="48" s="1"/>
  <c r="W184" i="48"/>
  <c r="M69" i="48"/>
  <c r="O69" i="48" s="1"/>
  <c r="T67" i="48" s="1"/>
  <c r="K136" i="48"/>
  <c r="M136" i="48" s="1"/>
  <c r="O136" i="48" s="1"/>
  <c r="U133" i="48" s="1"/>
  <c r="K137" i="48"/>
  <c r="M137" i="48" s="1"/>
  <c r="O137" i="48" s="1"/>
  <c r="V133" i="48" s="1"/>
  <c r="O139" i="48"/>
  <c r="T138" i="48" s="1"/>
  <c r="K71" i="48"/>
  <c r="M71" i="48" s="1"/>
  <c r="O71" i="48" s="1"/>
  <c r="V67" i="48" s="1"/>
  <c r="M70" i="48"/>
  <c r="O70" i="48" s="1"/>
  <c r="U67" i="48" s="1"/>
  <c r="W64" i="48"/>
  <c r="T62" i="48"/>
  <c r="I150" i="48"/>
  <c r="G186" i="48"/>
  <c r="K186" i="48" s="1"/>
  <c r="M186" i="48" s="1"/>
  <c r="O186" i="48" s="1"/>
  <c r="T12" i="48"/>
  <c r="T11" i="48" s="1"/>
  <c r="K40" i="48"/>
  <c r="O74" i="48"/>
  <c r="T72" i="48" s="1"/>
  <c r="T88" i="48"/>
  <c r="K146" i="48"/>
  <c r="M146" i="48" s="1"/>
  <c r="O146" i="48" s="1"/>
  <c r="V142" i="48" s="1"/>
  <c r="K51" i="48"/>
  <c r="V88" i="48"/>
  <c r="W18" i="48"/>
  <c r="I125" i="48"/>
  <c r="I126" i="48" s="1"/>
  <c r="K126" i="48" s="1"/>
  <c r="M45" i="48"/>
  <c r="O45" i="48" s="1"/>
  <c r="U42" i="48" s="1"/>
  <c r="K46" i="48"/>
  <c r="K36" i="48"/>
  <c r="M35" i="48"/>
  <c r="O35" i="48" s="1"/>
  <c r="U32" i="48" s="1"/>
  <c r="O54" i="48"/>
  <c r="T52" i="48" s="1"/>
  <c r="W22" i="48"/>
  <c r="K100" i="48"/>
  <c r="M99" i="48"/>
  <c r="O99" i="48" s="1"/>
  <c r="T97" i="48" s="1"/>
  <c r="K119" i="48"/>
  <c r="M119" i="48" s="1"/>
  <c r="O119" i="48" s="1"/>
  <c r="T117" i="48" s="1"/>
  <c r="I120" i="48"/>
  <c r="K130" i="48"/>
  <c r="I131" i="48"/>
  <c r="K131" i="48" s="1"/>
  <c r="K15" i="48"/>
  <c r="M15" i="48" s="1"/>
  <c r="U13" i="48" s="1"/>
  <c r="U12" i="48" s="1"/>
  <c r="U11" i="48" s="1"/>
  <c r="I60" i="48"/>
  <c r="M55" i="48"/>
  <c r="O55" i="48" s="1"/>
  <c r="U52" i="48" s="1"/>
  <c r="W56" i="48"/>
  <c r="K59" i="48"/>
  <c r="M59" i="48" s="1"/>
  <c r="O59" i="48" s="1"/>
  <c r="T57" i="48" s="1"/>
  <c r="K65" i="48"/>
  <c r="M75" i="48"/>
  <c r="O75" i="48" s="1"/>
  <c r="U72" i="48" s="1"/>
  <c r="K80" i="48"/>
  <c r="W79" i="48"/>
  <c r="M84" i="48"/>
  <c r="O84" i="48" s="1"/>
  <c r="T82" i="48" s="1"/>
  <c r="I161" i="48"/>
  <c r="K161" i="48" s="1"/>
  <c r="K160" i="48"/>
  <c r="K95" i="48"/>
  <c r="M94" i="48"/>
  <c r="O94" i="48" s="1"/>
  <c r="T92" i="48" s="1"/>
  <c r="W104" i="48"/>
  <c r="I105" i="48"/>
  <c r="I16" i="48"/>
  <c r="W20" i="48"/>
  <c r="W14" i="48"/>
  <c r="W39" i="48"/>
  <c r="W50" i="48"/>
  <c r="W116" i="48"/>
  <c r="V113" i="48"/>
  <c r="M124" i="48"/>
  <c r="O124" i="48" s="1"/>
  <c r="T122" i="48" s="1"/>
  <c r="O129" i="48"/>
  <c r="T127" i="48" s="1"/>
  <c r="K144" i="48"/>
  <c r="M144" i="48" s="1"/>
  <c r="M85" i="48"/>
  <c r="O85" i="48" s="1"/>
  <c r="U82" i="48" s="1"/>
  <c r="K86" i="48"/>
  <c r="O90" i="48"/>
  <c r="U88" i="48" s="1"/>
  <c r="M141" i="48"/>
  <c r="O141" i="48" s="1"/>
  <c r="V138" i="48" s="1"/>
  <c r="I175" i="48"/>
  <c r="K174" i="48"/>
  <c r="K109" i="48"/>
  <c r="M109" i="48" s="1"/>
  <c r="O109" i="48" s="1"/>
  <c r="T107" i="48" s="1"/>
  <c r="I110" i="48"/>
  <c r="O200" i="48"/>
  <c r="T198" i="48" s="1"/>
  <c r="O140" i="48"/>
  <c r="U138" i="48" s="1"/>
  <c r="S147" i="48"/>
  <c r="O149" i="48"/>
  <c r="T147" i="48" s="1"/>
  <c r="I165" i="48"/>
  <c r="K164" i="48"/>
  <c r="U113" i="48"/>
  <c r="I155" i="48"/>
  <c r="K154" i="48"/>
  <c r="O179" i="48"/>
  <c r="I211" i="48"/>
  <c r="K210" i="48"/>
  <c r="I192" i="48"/>
  <c r="M196" i="48"/>
  <c r="G197" i="48"/>
  <c r="M197" i="48" s="1"/>
  <c r="Q114" i="48"/>
  <c r="T113" i="48" s="1"/>
  <c r="I171" i="48"/>
  <c r="K171" i="48" s="1"/>
  <c r="K170" i="48"/>
  <c r="O184" i="48"/>
  <c r="T182" i="48"/>
  <c r="I217" i="48"/>
  <c r="K217" i="48" s="1"/>
  <c r="M217" i="48" s="1"/>
  <c r="O217" i="48" s="1"/>
  <c r="V213" i="48" s="1"/>
  <c r="K216" i="48"/>
  <c r="M216" i="48" s="1"/>
  <c r="O216" i="48" s="1"/>
  <c r="U213" i="48" s="1"/>
  <c r="I222" i="48"/>
  <c r="K222" i="48" s="1"/>
  <c r="M222" i="48" s="1"/>
  <c r="O222" i="48" s="1"/>
  <c r="V218" i="48" s="1"/>
  <c r="K221" i="48"/>
  <c r="M221" i="48" s="1"/>
  <c r="O221" i="48" s="1"/>
  <c r="U218" i="48" s="1"/>
  <c r="W179" i="48"/>
  <c r="I206" i="48"/>
  <c r="K159" i="48"/>
  <c r="K169" i="48"/>
  <c r="K190" i="48"/>
  <c r="G192" i="48"/>
  <c r="K205" i="48"/>
  <c r="M205" i="48" s="1"/>
  <c r="O205" i="48" s="1"/>
  <c r="T203" i="48" s="1"/>
  <c r="M215" i="48"/>
  <c r="O215" i="48" s="1"/>
  <c r="T213" i="48" s="1"/>
  <c r="I180" i="48"/>
  <c r="I201" i="48"/>
  <c r="K135" i="48"/>
  <c r="M135" i="48" s="1"/>
  <c r="O135" i="48" s="1"/>
  <c r="T133" i="48" s="1"/>
  <c r="M195" i="48"/>
  <c r="K209" i="48"/>
  <c r="K220" i="48"/>
  <c r="M220" i="48" s="1"/>
  <c r="O220" i="48" s="1"/>
  <c r="T218" i="48" s="1"/>
  <c r="I214" i="47"/>
  <c r="I215" i="47" s="1"/>
  <c r="I209" i="47"/>
  <c r="I210" i="47" s="1"/>
  <c r="I200" i="47"/>
  <c r="I199" i="47"/>
  <c r="I195" i="47"/>
  <c r="I194" i="47"/>
  <c r="K190" i="47"/>
  <c r="K189" i="47"/>
  <c r="I184" i="47"/>
  <c r="I185" i="47" s="1"/>
  <c r="I178" i="47"/>
  <c r="I179" i="47" s="1"/>
  <c r="I173" i="47"/>
  <c r="I174" i="47" s="1"/>
  <c r="I164" i="47"/>
  <c r="I163" i="47"/>
  <c r="I159" i="47"/>
  <c r="I158" i="47"/>
  <c r="I153" i="47"/>
  <c r="I154" i="47" s="1"/>
  <c r="I143" i="47"/>
  <c r="I144" i="47" s="1"/>
  <c r="I139" i="47"/>
  <c r="I138" i="47"/>
  <c r="I130" i="47"/>
  <c r="I129" i="47"/>
  <c r="I124" i="47"/>
  <c r="I123" i="47"/>
  <c r="V24" i="49" l="1"/>
  <c r="W146" i="48"/>
  <c r="W71" i="48"/>
  <c r="W30" i="48"/>
  <c r="W44" i="48"/>
  <c r="W34" i="48"/>
  <c r="W191" i="48"/>
  <c r="W137" i="48"/>
  <c r="W145" i="48"/>
  <c r="W109" i="48"/>
  <c r="V182" i="48"/>
  <c r="W69" i="48"/>
  <c r="W70" i="48"/>
  <c r="W90" i="48"/>
  <c r="T31" i="48"/>
  <c r="T25" i="48" s="1"/>
  <c r="W74" i="48"/>
  <c r="T87" i="48"/>
  <c r="W85" i="48"/>
  <c r="W136" i="48"/>
  <c r="W55" i="48"/>
  <c r="W84" i="48"/>
  <c r="K125" i="48"/>
  <c r="M125" i="48" s="1"/>
  <c r="O125" i="48" s="1"/>
  <c r="U122" i="48" s="1"/>
  <c r="W135" i="48"/>
  <c r="W124" i="48"/>
  <c r="W222" i="48"/>
  <c r="W119" i="48"/>
  <c r="I151" i="48"/>
  <c r="K151" i="48" s="1"/>
  <c r="K150" i="48"/>
  <c r="M150" i="48" s="1"/>
  <c r="O150" i="48" s="1"/>
  <c r="U147" i="48" s="1"/>
  <c r="M51" i="48"/>
  <c r="O51" i="48" s="1"/>
  <c r="V47" i="48" s="1"/>
  <c r="W186" i="48"/>
  <c r="W140" i="48"/>
  <c r="U182" i="48"/>
  <c r="O185" i="48"/>
  <c r="W139" i="48"/>
  <c r="W94" i="48"/>
  <c r="W35" i="48"/>
  <c r="M40" i="48"/>
  <c r="K41" i="48"/>
  <c r="W221" i="48"/>
  <c r="O195" i="48"/>
  <c r="T193" i="48" s="1"/>
  <c r="K192" i="48"/>
  <c r="M192" i="48" s="1"/>
  <c r="O192" i="48" s="1"/>
  <c r="V188" i="48" s="1"/>
  <c r="O196" i="48"/>
  <c r="U193" i="48" s="1"/>
  <c r="M154" i="48"/>
  <c r="O154" i="48" s="1"/>
  <c r="T152" i="48" s="1"/>
  <c r="W216" i="48"/>
  <c r="W200" i="48"/>
  <c r="W141" i="48"/>
  <c r="S142" i="48"/>
  <c r="O144" i="48"/>
  <c r="K105" i="48"/>
  <c r="M105" i="48" s="1"/>
  <c r="O105" i="48" s="1"/>
  <c r="U102" i="48" s="1"/>
  <c r="I106" i="48"/>
  <c r="M161" i="48"/>
  <c r="O161" i="48" s="1"/>
  <c r="V157" i="48" s="1"/>
  <c r="K66" i="48"/>
  <c r="M65" i="48"/>
  <c r="O65" i="48" s="1"/>
  <c r="U62" i="48" s="1"/>
  <c r="M130" i="48"/>
  <c r="O130" i="48" s="1"/>
  <c r="U127" i="48" s="1"/>
  <c r="W99" i="48"/>
  <c r="K180" i="48"/>
  <c r="M180" i="48" s="1"/>
  <c r="I181" i="48"/>
  <c r="M170" i="48"/>
  <c r="O170" i="48" s="1"/>
  <c r="U167" i="48" s="1"/>
  <c r="K206" i="48"/>
  <c r="M206" i="48" s="1"/>
  <c r="O206" i="48" s="1"/>
  <c r="U203" i="48" s="1"/>
  <c r="I207" i="48"/>
  <c r="W149" i="48"/>
  <c r="I111" i="48"/>
  <c r="K111" i="48" s="1"/>
  <c r="K110" i="48"/>
  <c r="M86" i="48"/>
  <c r="O86" i="48" s="1"/>
  <c r="V82" i="48" s="1"/>
  <c r="M160" i="48"/>
  <c r="O160" i="48" s="1"/>
  <c r="U157" i="48" s="1"/>
  <c r="M131" i="48"/>
  <c r="O131" i="48" s="1"/>
  <c r="V127" i="48" s="1"/>
  <c r="K120" i="48"/>
  <c r="M120" i="48" s="1"/>
  <c r="O120" i="48" s="1"/>
  <c r="U117" i="48" s="1"/>
  <c r="I121" i="48"/>
  <c r="M36" i="48"/>
  <c r="O36" i="48" s="1"/>
  <c r="V32" i="48" s="1"/>
  <c r="M171" i="48"/>
  <c r="O171" i="48" s="1"/>
  <c r="V167" i="48" s="1"/>
  <c r="W220" i="48"/>
  <c r="I212" i="48"/>
  <c r="K212" i="48" s="1"/>
  <c r="K211" i="48"/>
  <c r="O197" i="48"/>
  <c r="V193" i="48" s="1"/>
  <c r="M100" i="48"/>
  <c r="O100" i="48" s="1"/>
  <c r="U97" i="48" s="1"/>
  <c r="K101" i="48"/>
  <c r="M190" i="48"/>
  <c r="O190" i="48" s="1"/>
  <c r="T188" i="48" s="1"/>
  <c r="T112" i="48"/>
  <c r="I156" i="48"/>
  <c r="K156" i="48" s="1"/>
  <c r="K155" i="48"/>
  <c r="K201" i="48"/>
  <c r="M201" i="48" s="1"/>
  <c r="O201" i="48" s="1"/>
  <c r="U198" i="48" s="1"/>
  <c r="I202" i="48"/>
  <c r="M169" i="48"/>
  <c r="O169" i="48" s="1"/>
  <c r="T167" i="48" s="1"/>
  <c r="W217" i="48"/>
  <c r="W114" i="48"/>
  <c r="M164" i="48"/>
  <c r="O164" i="48" s="1"/>
  <c r="T162" i="48" s="1"/>
  <c r="W76" i="48"/>
  <c r="K16" i="48"/>
  <c r="M16" i="48" s="1"/>
  <c r="V13" i="48" s="1"/>
  <c r="V12" i="48" s="1"/>
  <c r="V11" i="48" s="1"/>
  <c r="K60" i="48"/>
  <c r="M60" i="48" s="1"/>
  <c r="O60" i="48" s="1"/>
  <c r="U57" i="48" s="1"/>
  <c r="I61" i="48"/>
  <c r="M126" i="48"/>
  <c r="O126" i="48" s="1"/>
  <c r="V122" i="48" s="1"/>
  <c r="W59" i="48"/>
  <c r="M46" i="48"/>
  <c r="O46" i="48" s="1"/>
  <c r="V42" i="48" s="1"/>
  <c r="M159" i="48"/>
  <c r="O159" i="48" s="1"/>
  <c r="T157" i="48" s="1"/>
  <c r="M210" i="48"/>
  <c r="O210" i="48" s="1"/>
  <c r="T208" i="48" s="1"/>
  <c r="I166" i="48"/>
  <c r="K166" i="48" s="1"/>
  <c r="K165" i="48"/>
  <c r="M174" i="48"/>
  <c r="O174" i="48" s="1"/>
  <c r="T172" i="48" s="1"/>
  <c r="W129" i="48"/>
  <c r="W215" i="48"/>
  <c r="K96" i="48"/>
  <c r="M95" i="48"/>
  <c r="O95" i="48" s="1"/>
  <c r="U92" i="48" s="1"/>
  <c r="I176" i="48"/>
  <c r="K176" i="48" s="1"/>
  <c r="K175" i="48"/>
  <c r="W205" i="48"/>
  <c r="M80" i="48"/>
  <c r="O80" i="48" s="1"/>
  <c r="U77" i="48" s="1"/>
  <c r="K81" i="48"/>
  <c r="W75" i="48"/>
  <c r="W15" i="48"/>
  <c r="W54" i="48"/>
  <c r="W45" i="48"/>
  <c r="I114" i="47"/>
  <c r="I115" i="47" s="1"/>
  <c r="I113" i="47"/>
  <c r="W16" i="48" l="1"/>
  <c r="U112" i="48"/>
  <c r="W36" i="48"/>
  <c r="W201" i="48"/>
  <c r="W150" i="48"/>
  <c r="W174" i="48"/>
  <c r="W125" i="48"/>
  <c r="W180" i="48"/>
  <c r="W164" i="48"/>
  <c r="T187" i="48"/>
  <c r="W131" i="48"/>
  <c r="W160" i="48"/>
  <c r="W51" i="48"/>
  <c r="W105" i="48"/>
  <c r="W100" i="48"/>
  <c r="W171" i="48"/>
  <c r="W130" i="48"/>
  <c r="M41" i="48"/>
  <c r="O41" i="48" s="1"/>
  <c r="V37" i="48" s="1"/>
  <c r="M151" i="48"/>
  <c r="O151" i="48" s="1"/>
  <c r="V147" i="48" s="1"/>
  <c r="O40" i="48"/>
  <c r="U37" i="48" s="1"/>
  <c r="U31" i="48" s="1"/>
  <c r="U25" i="48" s="1"/>
  <c r="W46" i="48"/>
  <c r="M96" i="48"/>
  <c r="O96" i="48" s="1"/>
  <c r="V92" i="48" s="1"/>
  <c r="M166" i="48"/>
  <c r="O166" i="48" s="1"/>
  <c r="V162" i="48" s="1"/>
  <c r="M111" i="48"/>
  <c r="O111" i="48" s="1"/>
  <c r="V107" i="48" s="1"/>
  <c r="W190" i="48"/>
  <c r="M155" i="48"/>
  <c r="O155" i="48" s="1"/>
  <c r="U152" i="48" s="1"/>
  <c r="W197" i="48"/>
  <c r="K207" i="48"/>
  <c r="M207" i="48" s="1"/>
  <c r="O207" i="48" s="1"/>
  <c r="V203" i="48" s="1"/>
  <c r="K181" i="48"/>
  <c r="M181" i="48" s="1"/>
  <c r="K106" i="48"/>
  <c r="M106" i="48" s="1"/>
  <c r="O106" i="48" s="1"/>
  <c r="V102" i="48" s="1"/>
  <c r="M175" i="48"/>
  <c r="O175" i="48" s="1"/>
  <c r="U172" i="48" s="1"/>
  <c r="W120" i="48"/>
  <c r="W126" i="48"/>
  <c r="M156" i="48"/>
  <c r="O156" i="48" s="1"/>
  <c r="V152" i="48" s="1"/>
  <c r="U177" i="48"/>
  <c r="O180" i="48"/>
  <c r="M66" i="48"/>
  <c r="O66" i="48" s="1"/>
  <c r="V62" i="48" s="1"/>
  <c r="W195" i="48"/>
  <c r="W210" i="48"/>
  <c r="M176" i="48"/>
  <c r="O176" i="48" s="1"/>
  <c r="V172" i="48" s="1"/>
  <c r="M101" i="48"/>
  <c r="O101" i="48" s="1"/>
  <c r="V97" i="48" s="1"/>
  <c r="M211" i="48"/>
  <c r="O211" i="48" s="1"/>
  <c r="U208" i="48" s="1"/>
  <c r="U187" i="48" s="1"/>
  <c r="W80" i="48"/>
  <c r="W95" i="48"/>
  <c r="W159" i="48"/>
  <c r="K61" i="48"/>
  <c r="M61" i="48" s="1"/>
  <c r="O61" i="48" s="1"/>
  <c r="V57" i="48" s="1"/>
  <c r="W169" i="48"/>
  <c r="W192" i="48"/>
  <c r="M212" i="48"/>
  <c r="O212" i="48" s="1"/>
  <c r="V208" i="48" s="1"/>
  <c r="W86" i="48"/>
  <c r="W206" i="48"/>
  <c r="W65" i="48"/>
  <c r="T142" i="48"/>
  <c r="T132" i="48" s="1"/>
  <c r="W144" i="48"/>
  <c r="W154" i="48"/>
  <c r="K202" i="48"/>
  <c r="M202" i="48" s="1"/>
  <c r="O202" i="48" s="1"/>
  <c r="V198" i="48" s="1"/>
  <c r="K121" i="48"/>
  <c r="M121" i="48" s="1"/>
  <c r="O121" i="48" s="1"/>
  <c r="V117" i="48" s="1"/>
  <c r="V112" i="48" s="1"/>
  <c r="M81" i="48"/>
  <c r="O81" i="48" s="1"/>
  <c r="V77" i="48" s="1"/>
  <c r="M165" i="48"/>
  <c r="O165" i="48" s="1"/>
  <c r="U162" i="48" s="1"/>
  <c r="W60" i="48"/>
  <c r="M110" i="48"/>
  <c r="O110" i="48" s="1"/>
  <c r="U107" i="48" s="1"/>
  <c r="U87" i="48" s="1"/>
  <c r="W170" i="48"/>
  <c r="W161" i="48"/>
  <c r="W196" i="48"/>
  <c r="I104" i="47"/>
  <c r="I103" i="47"/>
  <c r="I98" i="47"/>
  <c r="I99" i="47" s="1"/>
  <c r="K93" i="47"/>
  <c r="K94" i="47" s="1"/>
  <c r="K88" i="47"/>
  <c r="K89" i="47" s="1"/>
  <c r="K78" i="47"/>
  <c r="K79" i="47" s="1"/>
  <c r="K74" i="47"/>
  <c r="K73" i="47"/>
  <c r="K69" i="47"/>
  <c r="K68" i="47"/>
  <c r="K63" i="47"/>
  <c r="K64" i="47"/>
  <c r="K58" i="47"/>
  <c r="K59" i="47" s="1"/>
  <c r="I53" i="47"/>
  <c r="I54" i="47"/>
  <c r="K48" i="47"/>
  <c r="K49" i="47" s="1"/>
  <c r="K44" i="47"/>
  <c r="K43" i="47"/>
  <c r="K39" i="47"/>
  <c r="K38" i="47"/>
  <c r="K33" i="47"/>
  <c r="K34" i="47" s="1"/>
  <c r="K28" i="47"/>
  <c r="K29" i="47" s="1"/>
  <c r="K30" i="47" s="1"/>
  <c r="I14" i="47"/>
  <c r="T24" i="48" l="1"/>
  <c r="W110" i="48"/>
  <c r="W211" i="48"/>
  <c r="W41" i="48"/>
  <c r="W121" i="48"/>
  <c r="V31" i="48"/>
  <c r="V25" i="48" s="1"/>
  <c r="W202" i="48"/>
  <c r="W101" i="48"/>
  <c r="W155" i="48"/>
  <c r="W40" i="48"/>
  <c r="V187" i="48"/>
  <c r="W156" i="48"/>
  <c r="W181" i="48"/>
  <c r="W81" i="48"/>
  <c r="W151" i="48"/>
  <c r="W212" i="48"/>
  <c r="V177" i="48"/>
  <c r="O181" i="48"/>
  <c r="V87" i="48"/>
  <c r="W176" i="48"/>
  <c r="W96" i="48"/>
  <c r="W175" i="48"/>
  <c r="W207" i="48"/>
  <c r="W111" i="48"/>
  <c r="W165" i="48"/>
  <c r="W61" i="48"/>
  <c r="W66" i="48"/>
  <c r="V132" i="48"/>
  <c r="W106" i="48"/>
  <c r="U132" i="48"/>
  <c r="U24" i="48" s="1"/>
  <c r="W166" i="48"/>
  <c r="I15" i="47"/>
  <c r="V24" i="48" l="1"/>
  <c r="H216" i="47"/>
  <c r="G216" i="47"/>
  <c r="F216" i="47"/>
  <c r="I216" i="47"/>
  <c r="K216" i="47" s="1"/>
  <c r="M216" i="47" s="1"/>
  <c r="O216" i="47" s="1"/>
  <c r="V212" i="47" s="1"/>
  <c r="H215" i="47"/>
  <c r="G215" i="47"/>
  <c r="K215" i="47" s="1"/>
  <c r="M215" i="47" s="1"/>
  <c r="O215" i="47" s="1"/>
  <c r="U212" i="47" s="1"/>
  <c r="F215" i="47"/>
  <c r="M214" i="47"/>
  <c r="O214" i="47" s="1"/>
  <c r="T212" i="47" s="1"/>
  <c r="K214" i="47"/>
  <c r="G214" i="47"/>
  <c r="F214" i="47"/>
  <c r="O213" i="47"/>
  <c r="K213" i="47"/>
  <c r="H211" i="47"/>
  <c r="G211" i="47"/>
  <c r="F211" i="47"/>
  <c r="I211" i="47"/>
  <c r="K211" i="47" s="1"/>
  <c r="M211" i="47" s="1"/>
  <c r="O211" i="47" s="1"/>
  <c r="V207" i="47" s="1"/>
  <c r="H210" i="47"/>
  <c r="G210" i="47"/>
  <c r="F210" i="47"/>
  <c r="G209" i="47"/>
  <c r="F209" i="47"/>
  <c r="O208" i="47"/>
  <c r="K208" i="47"/>
  <c r="H206" i="47"/>
  <c r="H205" i="47"/>
  <c r="O203" i="47"/>
  <c r="I203" i="47"/>
  <c r="I204" i="47" s="1"/>
  <c r="I205" i="47" s="1"/>
  <c r="F201" i="47"/>
  <c r="K200" i="47"/>
  <c r="M200" i="47" s="1"/>
  <c r="O200" i="47" s="1"/>
  <c r="F200" i="47"/>
  <c r="K199" i="47"/>
  <c r="M199" i="47" s="1"/>
  <c r="O199" i="47" s="1"/>
  <c r="F199" i="47"/>
  <c r="O198" i="47"/>
  <c r="F196" i="47"/>
  <c r="F195" i="47"/>
  <c r="K194" i="47"/>
  <c r="M194" i="47" s="1"/>
  <c r="O194" i="47" s="1"/>
  <c r="T192" i="47" s="1"/>
  <c r="F194" i="47"/>
  <c r="O193" i="47"/>
  <c r="K193" i="47"/>
  <c r="H191" i="47"/>
  <c r="F191" i="47"/>
  <c r="K191" i="47"/>
  <c r="H190" i="47"/>
  <c r="F190" i="47"/>
  <c r="M189" i="47"/>
  <c r="G189" i="47"/>
  <c r="G190" i="47" s="1"/>
  <c r="F189" i="47"/>
  <c r="M188" i="47"/>
  <c r="O188" i="47" s="1"/>
  <c r="I186" i="47"/>
  <c r="F186" i="47"/>
  <c r="G185" i="47"/>
  <c r="G186" i="47" s="1"/>
  <c r="F185" i="47"/>
  <c r="M184" i="47"/>
  <c r="O184" i="47" s="1"/>
  <c r="T182" i="47" s="1"/>
  <c r="K184" i="47"/>
  <c r="F184" i="47"/>
  <c r="O183" i="47"/>
  <c r="K183" i="47"/>
  <c r="W181" i="47"/>
  <c r="F180" i="47"/>
  <c r="G179" i="47"/>
  <c r="G180" i="47" s="1"/>
  <c r="F179" i="47"/>
  <c r="K178" i="47"/>
  <c r="M178" i="47" s="1"/>
  <c r="T176" i="47" s="1"/>
  <c r="F178" i="47"/>
  <c r="O177" i="47"/>
  <c r="K177" i="47"/>
  <c r="G174" i="47"/>
  <c r="G175" i="47" s="1"/>
  <c r="O172" i="47"/>
  <c r="K172" i="47"/>
  <c r="H170" i="47"/>
  <c r="F170" i="47"/>
  <c r="H169" i="47"/>
  <c r="F169" i="47"/>
  <c r="F168" i="47"/>
  <c r="O167" i="47"/>
  <c r="I167" i="47"/>
  <c r="H165" i="47"/>
  <c r="F165" i="47"/>
  <c r="K164" i="47"/>
  <c r="I165" i="47"/>
  <c r="K165" i="47" s="1"/>
  <c r="H164" i="47"/>
  <c r="F164" i="47"/>
  <c r="K163" i="47"/>
  <c r="M163" i="47" s="1"/>
  <c r="O163" i="47" s="1"/>
  <c r="T161" i="47" s="1"/>
  <c r="F163" i="47"/>
  <c r="O162" i="47"/>
  <c r="K162" i="47"/>
  <c r="H160" i="47"/>
  <c r="F160" i="47"/>
  <c r="K159" i="47"/>
  <c r="H159" i="47"/>
  <c r="F159" i="47"/>
  <c r="K158" i="47"/>
  <c r="M158" i="47" s="1"/>
  <c r="O158" i="47" s="1"/>
  <c r="F158" i="47"/>
  <c r="H155" i="47"/>
  <c r="F155" i="47"/>
  <c r="I155" i="47"/>
  <c r="K155" i="47" s="1"/>
  <c r="M155" i="47" s="1"/>
  <c r="O155" i="47" s="1"/>
  <c r="V151" i="47" s="1"/>
  <c r="H154" i="47"/>
  <c r="F154" i="47"/>
  <c r="K153" i="47"/>
  <c r="M153" i="47" s="1"/>
  <c r="O153" i="47" s="1"/>
  <c r="T151" i="47" s="1"/>
  <c r="F153" i="47"/>
  <c r="O152" i="47"/>
  <c r="K152" i="47"/>
  <c r="H150" i="47"/>
  <c r="F150" i="47"/>
  <c r="H149" i="47"/>
  <c r="F149" i="47"/>
  <c r="F148" i="47"/>
  <c r="O147" i="47"/>
  <c r="I147" i="47"/>
  <c r="I148" i="47" s="1"/>
  <c r="I149" i="47" s="1"/>
  <c r="H145" i="47"/>
  <c r="F145" i="47"/>
  <c r="H144" i="47"/>
  <c r="F144" i="47"/>
  <c r="K143" i="47"/>
  <c r="F143" i="47"/>
  <c r="O142" i="47"/>
  <c r="K142" i="47"/>
  <c r="I140" i="47"/>
  <c r="H140" i="47"/>
  <c r="G140" i="47"/>
  <c r="F140" i="47"/>
  <c r="K139" i="47"/>
  <c r="M139" i="47" s="1"/>
  <c r="O139" i="47" s="1"/>
  <c r="U136" i="47" s="1"/>
  <c r="H139" i="47"/>
  <c r="G139" i="47"/>
  <c r="F139" i="47"/>
  <c r="G138" i="47"/>
  <c r="K138" i="47" s="1"/>
  <c r="M138" i="47" s="1"/>
  <c r="F138" i="47"/>
  <c r="O137" i="47"/>
  <c r="K137" i="47"/>
  <c r="K135" i="47"/>
  <c r="M135" i="47" s="1"/>
  <c r="O135" i="47" s="1"/>
  <c r="F135" i="47"/>
  <c r="K134" i="47"/>
  <c r="M134" i="47" s="1"/>
  <c r="F134" i="47"/>
  <c r="K133" i="47"/>
  <c r="F133" i="47"/>
  <c r="G131" i="47"/>
  <c r="F131" i="47"/>
  <c r="I131" i="47"/>
  <c r="G130" i="47"/>
  <c r="K130" i="47" s="1"/>
  <c r="M130" i="47" s="1"/>
  <c r="O130" i="47" s="1"/>
  <c r="U127" i="47" s="1"/>
  <c r="F130" i="47"/>
  <c r="G129" i="47"/>
  <c r="K129" i="47" s="1"/>
  <c r="M129" i="47" s="1"/>
  <c r="O129" i="47" s="1"/>
  <c r="T127" i="47" s="1"/>
  <c r="F129" i="47"/>
  <c r="W126" i="47"/>
  <c r="F125" i="47"/>
  <c r="F124" i="47"/>
  <c r="K123" i="47"/>
  <c r="M123" i="47" s="1"/>
  <c r="O123" i="47" s="1"/>
  <c r="T121" i="47" s="1"/>
  <c r="I125" i="47"/>
  <c r="K125" i="47" s="1"/>
  <c r="F123" i="47"/>
  <c r="K122" i="47"/>
  <c r="M122" i="47" s="1"/>
  <c r="O122" i="47" s="1"/>
  <c r="H120" i="47"/>
  <c r="F120" i="47"/>
  <c r="H119" i="47"/>
  <c r="F119" i="47"/>
  <c r="F118" i="47"/>
  <c r="I117" i="47"/>
  <c r="I118" i="47" s="1"/>
  <c r="I119" i="47" s="1"/>
  <c r="I120" i="47" s="1"/>
  <c r="F115" i="47"/>
  <c r="F114" i="47"/>
  <c r="K113" i="47"/>
  <c r="M113" i="47" s="1"/>
  <c r="O113" i="47" s="1"/>
  <c r="T111" i="47" s="1"/>
  <c r="F113" i="47"/>
  <c r="K112" i="47"/>
  <c r="M112" i="47" s="1"/>
  <c r="O112" i="47" s="1"/>
  <c r="O110" i="47"/>
  <c r="F110" i="47"/>
  <c r="O109" i="47"/>
  <c r="F109" i="47"/>
  <c r="O108" i="47"/>
  <c r="F108" i="47"/>
  <c r="W106" i="47"/>
  <c r="F105" i="47"/>
  <c r="I105" i="47"/>
  <c r="K105" i="47" s="1"/>
  <c r="M105" i="47" s="1"/>
  <c r="O105" i="47" s="1"/>
  <c r="V101" i="47" s="1"/>
  <c r="F104" i="47"/>
  <c r="K103" i="47"/>
  <c r="M103" i="47" s="1"/>
  <c r="O103" i="47" s="1"/>
  <c r="T101" i="47" s="1"/>
  <c r="F103" i="47"/>
  <c r="J100" i="47"/>
  <c r="F100" i="47"/>
  <c r="J99" i="47"/>
  <c r="K99" i="47"/>
  <c r="M99" i="47" s="1"/>
  <c r="O99" i="47" s="1"/>
  <c r="U96" i="47" s="1"/>
  <c r="F99" i="47"/>
  <c r="K98" i="47"/>
  <c r="J98" i="47"/>
  <c r="F98" i="47"/>
  <c r="K97" i="47"/>
  <c r="M97" i="47" s="1"/>
  <c r="O97" i="47" s="1"/>
  <c r="K95" i="47"/>
  <c r="M95" i="47" s="1"/>
  <c r="O95" i="47" s="1"/>
  <c r="V91" i="47" s="1"/>
  <c r="J95" i="47"/>
  <c r="H95" i="47"/>
  <c r="F95" i="47"/>
  <c r="M94" i="47"/>
  <c r="J94" i="47"/>
  <c r="H94" i="47"/>
  <c r="F94" i="47"/>
  <c r="O93" i="47"/>
  <c r="T91" i="47" s="1"/>
  <c r="M93" i="47"/>
  <c r="J93" i="47"/>
  <c r="F93" i="47"/>
  <c r="M92" i="47"/>
  <c r="O92" i="47" s="1"/>
  <c r="K90" i="47"/>
  <c r="J90" i="47"/>
  <c r="H90" i="47"/>
  <c r="F90" i="47"/>
  <c r="M89" i="47"/>
  <c r="O89" i="47" s="1"/>
  <c r="U86" i="47" s="1"/>
  <c r="J89" i="47"/>
  <c r="H89" i="47"/>
  <c r="F89" i="47"/>
  <c r="O88" i="47"/>
  <c r="T86" i="47" s="1"/>
  <c r="M88" i="47"/>
  <c r="J88" i="47"/>
  <c r="F88" i="47"/>
  <c r="M87" i="47"/>
  <c r="O87" i="47" s="1"/>
  <c r="M85" i="47"/>
  <c r="F85" i="47"/>
  <c r="M84" i="47"/>
  <c r="O84" i="47" s="1"/>
  <c r="U82" i="47" s="1"/>
  <c r="F84" i="47"/>
  <c r="M83" i="47"/>
  <c r="F83" i="47"/>
  <c r="W81" i="47"/>
  <c r="F80" i="47"/>
  <c r="K80" i="47"/>
  <c r="F79" i="47"/>
  <c r="M78" i="47"/>
  <c r="O78" i="47" s="1"/>
  <c r="T76" i="47" s="1"/>
  <c r="F78" i="47"/>
  <c r="M77" i="47"/>
  <c r="O77" i="47" s="1"/>
  <c r="K75" i="47"/>
  <c r="M75" i="47" s="1"/>
  <c r="O75" i="47" s="1"/>
  <c r="V71" i="47" s="1"/>
  <c r="M73" i="47"/>
  <c r="O73" i="47" s="1"/>
  <c r="T71" i="47" s="1"/>
  <c r="M72" i="47"/>
  <c r="O72" i="47" s="1"/>
  <c r="M69" i="47"/>
  <c r="M68" i="47"/>
  <c r="O68" i="47" s="1"/>
  <c r="T66" i="47" s="1"/>
  <c r="M67" i="47"/>
  <c r="O67" i="47" s="1"/>
  <c r="F65" i="47"/>
  <c r="F70" i="47" s="1"/>
  <c r="F75" i="47" s="1"/>
  <c r="F64" i="47"/>
  <c r="F69" i="47" s="1"/>
  <c r="F74" i="47" s="1"/>
  <c r="M63" i="47"/>
  <c r="O63" i="47" s="1"/>
  <c r="T61" i="47" s="1"/>
  <c r="F63" i="47"/>
  <c r="F68" i="47" s="1"/>
  <c r="F73" i="47" s="1"/>
  <c r="O62" i="47"/>
  <c r="M62" i="47"/>
  <c r="F60" i="47"/>
  <c r="M59" i="47"/>
  <c r="O59" i="47" s="1"/>
  <c r="U56" i="47" s="1"/>
  <c r="F59" i="47"/>
  <c r="M58" i="47"/>
  <c r="O58" i="47" s="1"/>
  <c r="T56" i="47" s="1"/>
  <c r="F58" i="47"/>
  <c r="M57" i="47"/>
  <c r="O57" i="47" s="1"/>
  <c r="F55" i="47"/>
  <c r="K54" i="47"/>
  <c r="M54" i="47" s="1"/>
  <c r="O54" i="47" s="1"/>
  <c r="U51" i="47" s="1"/>
  <c r="I55" i="47"/>
  <c r="F54" i="47"/>
  <c r="K53" i="47"/>
  <c r="J53" i="47"/>
  <c r="J54" i="47" s="1"/>
  <c r="J55" i="47" s="1"/>
  <c r="F53" i="47"/>
  <c r="M52" i="47"/>
  <c r="F50" i="47"/>
  <c r="F49" i="47"/>
  <c r="M48" i="47"/>
  <c r="O48" i="47" s="1"/>
  <c r="T46" i="47" s="1"/>
  <c r="F48" i="47"/>
  <c r="M47" i="47"/>
  <c r="O47" i="47" s="1"/>
  <c r="K45" i="47"/>
  <c r="M45" i="47" s="1"/>
  <c r="O45" i="47" s="1"/>
  <c r="V41" i="47" s="1"/>
  <c r="F45" i="47"/>
  <c r="M44" i="47"/>
  <c r="O44" i="47" s="1"/>
  <c r="U41" i="47" s="1"/>
  <c r="F44" i="47"/>
  <c r="M43" i="47"/>
  <c r="O43" i="47" s="1"/>
  <c r="T41" i="47" s="1"/>
  <c r="F43" i="47"/>
  <c r="J40" i="47"/>
  <c r="F40" i="47"/>
  <c r="M39" i="47"/>
  <c r="O39" i="47" s="1"/>
  <c r="K40" i="47"/>
  <c r="M40" i="47" s="1"/>
  <c r="J39" i="47"/>
  <c r="F39" i="47"/>
  <c r="M38" i="47"/>
  <c r="O38" i="47" s="1"/>
  <c r="T36" i="47" s="1"/>
  <c r="J38" i="47"/>
  <c r="F38" i="47"/>
  <c r="M37" i="47"/>
  <c r="O37" i="47" s="1"/>
  <c r="K35" i="47"/>
  <c r="J35" i="47"/>
  <c r="F35" i="47"/>
  <c r="M34" i="47"/>
  <c r="J34" i="47"/>
  <c r="F34" i="47"/>
  <c r="M33" i="47"/>
  <c r="O33" i="47" s="1"/>
  <c r="T31" i="47" s="1"/>
  <c r="J33" i="47"/>
  <c r="F33" i="47"/>
  <c r="O32" i="47"/>
  <c r="M32" i="47"/>
  <c r="J30" i="47"/>
  <c r="H30" i="47"/>
  <c r="F30" i="47"/>
  <c r="M29" i="47"/>
  <c r="O29" i="47" s="1"/>
  <c r="U26" i="47" s="1"/>
  <c r="J29" i="47"/>
  <c r="H29" i="47"/>
  <c r="F29" i="47"/>
  <c r="M28" i="47"/>
  <c r="O28" i="47" s="1"/>
  <c r="T26" i="47" s="1"/>
  <c r="J28" i="47"/>
  <c r="F28" i="47"/>
  <c r="M27" i="47"/>
  <c r="W25" i="47"/>
  <c r="W24" i="47"/>
  <c r="F23" i="47"/>
  <c r="O22" i="47"/>
  <c r="I23" i="47" s="1"/>
  <c r="K23" i="47" s="1"/>
  <c r="F21" i="47"/>
  <c r="O20" i="47"/>
  <c r="I21" i="47" s="1"/>
  <c r="K21" i="47" s="1"/>
  <c r="M21" i="47" s="1"/>
  <c r="F19" i="47"/>
  <c r="O18" i="47"/>
  <c r="I16" i="47"/>
  <c r="K16" i="47" s="1"/>
  <c r="M16" i="47" s="1"/>
  <c r="V13" i="47" s="1"/>
  <c r="K15" i="47"/>
  <c r="M15" i="47" s="1"/>
  <c r="U13" i="47" s="1"/>
  <c r="W12" i="47"/>
  <c r="W11" i="47"/>
  <c r="K167" i="47" l="1"/>
  <c r="I168" i="47"/>
  <c r="I169" i="47" s="1"/>
  <c r="K147" i="47"/>
  <c r="K185" i="47"/>
  <c r="M185" i="47" s="1"/>
  <c r="O185" i="47" s="1"/>
  <c r="U182" i="47" s="1"/>
  <c r="K179" i="47"/>
  <c r="M179" i="47" s="1"/>
  <c r="U176" i="47" s="1"/>
  <c r="K140" i="47"/>
  <c r="M140" i="47" s="1"/>
  <c r="O140" i="47" s="1"/>
  <c r="V136" i="47" s="1"/>
  <c r="K203" i="47"/>
  <c r="K204" i="47"/>
  <c r="W18" i="47"/>
  <c r="W216" i="47"/>
  <c r="I19" i="47"/>
  <c r="K19" i="47" s="1"/>
  <c r="M19" i="47" s="1"/>
  <c r="T17" i="47" s="1"/>
  <c r="W215" i="47"/>
  <c r="T197" i="47"/>
  <c r="W199" i="47"/>
  <c r="K186" i="47"/>
  <c r="M186" i="47" s="1"/>
  <c r="O186" i="47" s="1"/>
  <c r="V182" i="47" s="1"/>
  <c r="W179" i="47"/>
  <c r="W178" i="47"/>
  <c r="I180" i="47"/>
  <c r="K180" i="47" s="1"/>
  <c r="M180" i="47" s="1"/>
  <c r="O180" i="47" s="1"/>
  <c r="M159" i="47"/>
  <c r="O159" i="47" s="1"/>
  <c r="U156" i="47" s="1"/>
  <c r="I160" i="47"/>
  <c r="K160" i="47" s="1"/>
  <c r="M160" i="47" s="1"/>
  <c r="O160" i="47" s="1"/>
  <c r="V156" i="47" s="1"/>
  <c r="K154" i="47"/>
  <c r="M154" i="47" s="1"/>
  <c r="O154" i="47" s="1"/>
  <c r="U151" i="47" s="1"/>
  <c r="O138" i="47"/>
  <c r="W138" i="47" s="1"/>
  <c r="S136" i="47"/>
  <c r="K124" i="47"/>
  <c r="Q108" i="47"/>
  <c r="T107" i="47" s="1"/>
  <c r="K104" i="47"/>
  <c r="M104" i="47" s="1"/>
  <c r="O104" i="47" s="1"/>
  <c r="U101" i="47" s="1"/>
  <c r="W84" i="47"/>
  <c r="M79" i="47"/>
  <c r="O79" i="47" s="1"/>
  <c r="U76" i="47" s="1"/>
  <c r="M74" i="47"/>
  <c r="O74" i="47" s="1"/>
  <c r="U71" i="47" s="1"/>
  <c r="K70" i="47"/>
  <c r="W48" i="47"/>
  <c r="W39" i="47"/>
  <c r="U36" i="47"/>
  <c r="U17" i="47"/>
  <c r="U12" i="47" s="1"/>
  <c r="U11" i="47" s="1"/>
  <c r="W20" i="47"/>
  <c r="O34" i="47"/>
  <c r="U31" i="47" s="1"/>
  <c r="O40" i="47"/>
  <c r="V36" i="47" s="1"/>
  <c r="W88" i="47"/>
  <c r="W59" i="47"/>
  <c r="K60" i="47"/>
  <c r="K14" i="47"/>
  <c r="M14" i="47" s="1"/>
  <c r="T13" i="47" s="1"/>
  <c r="T12" i="47" s="1"/>
  <c r="T11" i="47" s="1"/>
  <c r="M35" i="47"/>
  <c r="O35" i="47" s="1"/>
  <c r="V31" i="47" s="1"/>
  <c r="O69" i="47"/>
  <c r="U66" i="47" s="1"/>
  <c r="W79" i="47"/>
  <c r="W99" i="47"/>
  <c r="W113" i="47"/>
  <c r="W123" i="47"/>
  <c r="O134" i="47"/>
  <c r="U132" i="47" s="1"/>
  <c r="W134" i="47"/>
  <c r="M23" i="47"/>
  <c r="V17" i="47" s="1"/>
  <c r="V12" i="47" s="1"/>
  <c r="V11" i="47" s="1"/>
  <c r="W29" i="47"/>
  <c r="K50" i="47"/>
  <c r="W16" i="47"/>
  <c r="M49" i="47"/>
  <c r="O49" i="47" s="1"/>
  <c r="U46" i="47" s="1"/>
  <c r="K55" i="47"/>
  <c r="M55" i="47" s="1"/>
  <c r="O55" i="47" s="1"/>
  <c r="V51" i="47" s="1"/>
  <c r="W68" i="47"/>
  <c r="W75" i="47"/>
  <c r="W78" i="47"/>
  <c r="W95" i="47"/>
  <c r="W103" i="47"/>
  <c r="Q109" i="47"/>
  <c r="U107" i="47" s="1"/>
  <c r="W28" i="47"/>
  <c r="W43" i="47"/>
  <c r="W44" i="47"/>
  <c r="M53" i="47"/>
  <c r="O53" i="47" s="1"/>
  <c r="T51" i="47" s="1"/>
  <c r="T25" i="47" s="1"/>
  <c r="M64" i="47"/>
  <c r="O64" i="47" s="1"/>
  <c r="U61" i="47" s="1"/>
  <c r="K65" i="47"/>
  <c r="W15" i="47"/>
  <c r="M80" i="47"/>
  <c r="O80" i="47" s="1"/>
  <c r="V76" i="47" s="1"/>
  <c r="O85" i="47"/>
  <c r="V82" i="47" s="1"/>
  <c r="M90" i="47"/>
  <c r="O90" i="47" s="1"/>
  <c r="V86" i="47" s="1"/>
  <c r="K168" i="47"/>
  <c r="W73" i="47"/>
  <c r="W105" i="47"/>
  <c r="V132" i="47"/>
  <c r="W135" i="47"/>
  <c r="M165" i="47"/>
  <c r="O165" i="47" s="1"/>
  <c r="V161" i="47" s="1"/>
  <c r="W33" i="47"/>
  <c r="W38" i="47"/>
  <c r="W45" i="47"/>
  <c r="O83" i="47"/>
  <c r="T82" i="47" s="1"/>
  <c r="W89" i="47"/>
  <c r="W93" i="47"/>
  <c r="O94" i="47"/>
  <c r="U91" i="47" s="1"/>
  <c r="W153" i="47"/>
  <c r="K173" i="47"/>
  <c r="M173" i="47" s="1"/>
  <c r="I100" i="47"/>
  <c r="T136" i="47"/>
  <c r="M143" i="47"/>
  <c r="K205" i="47"/>
  <c r="I206" i="47"/>
  <c r="K206" i="47" s="1"/>
  <c r="W54" i="47"/>
  <c r="Q110" i="47"/>
  <c r="V107" i="47" s="1"/>
  <c r="K114" i="47"/>
  <c r="M125" i="47"/>
  <c r="O125" i="47" s="1"/>
  <c r="V121" i="47" s="1"/>
  <c r="W129" i="47"/>
  <c r="W130" i="47"/>
  <c r="M133" i="47"/>
  <c r="O133" i="47" s="1"/>
  <c r="T132" i="47" s="1"/>
  <c r="W155" i="47"/>
  <c r="M164" i="47"/>
  <c r="O164" i="47" s="1"/>
  <c r="U161" i="47" s="1"/>
  <c r="W185" i="47"/>
  <c r="U197" i="47"/>
  <c r="W200" i="47"/>
  <c r="W211" i="47"/>
  <c r="K118" i="47"/>
  <c r="W139" i="47"/>
  <c r="W140" i="47"/>
  <c r="T156" i="47"/>
  <c r="W158" i="47"/>
  <c r="I196" i="47"/>
  <c r="K195" i="47"/>
  <c r="M195" i="47" s="1"/>
  <c r="O195" i="47" s="1"/>
  <c r="U192" i="47" s="1"/>
  <c r="W58" i="47"/>
  <c r="W63" i="47"/>
  <c r="M98" i="47"/>
  <c r="O98" i="47" s="1"/>
  <c r="T96" i="47" s="1"/>
  <c r="K117" i="47"/>
  <c r="M124" i="47"/>
  <c r="O124" i="47" s="1"/>
  <c r="U121" i="47" s="1"/>
  <c r="K131" i="47"/>
  <c r="M131" i="47" s="1"/>
  <c r="O131" i="47" s="1"/>
  <c r="V127" i="47" s="1"/>
  <c r="I145" i="47"/>
  <c r="K145" i="47" s="1"/>
  <c r="K144" i="47"/>
  <c r="K148" i="47"/>
  <c r="W163" i="47"/>
  <c r="O179" i="47"/>
  <c r="G191" i="47"/>
  <c r="M191" i="47" s="1"/>
  <c r="M190" i="47"/>
  <c r="O178" i="47"/>
  <c r="W184" i="47"/>
  <c r="O189" i="47"/>
  <c r="T187" i="47" s="1"/>
  <c r="K209" i="47"/>
  <c r="M209" i="47" s="1"/>
  <c r="O209" i="47" s="1"/>
  <c r="T207" i="47" s="1"/>
  <c r="W214" i="47"/>
  <c r="I201" i="47"/>
  <c r="W194" i="47"/>
  <c r="M204" i="47"/>
  <c r="O204" i="47" s="1"/>
  <c r="T202" i="47" s="1"/>
  <c r="K210" i="47"/>
  <c r="M210" i="47" s="1"/>
  <c r="O210" i="47" s="1"/>
  <c r="U207" i="47" s="1"/>
  <c r="W25" i="46"/>
  <c r="J53" i="46"/>
  <c r="J54" i="46" s="1"/>
  <c r="J55" i="46" s="1"/>
  <c r="I54" i="46"/>
  <c r="K54" i="46" s="1"/>
  <c r="M54" i="46" s="1"/>
  <c r="K53" i="46"/>
  <c r="M53" i="46" s="1"/>
  <c r="W24" i="46"/>
  <c r="W83" i="47" l="1"/>
  <c r="W125" i="47"/>
  <c r="W180" i="47"/>
  <c r="W124" i="47"/>
  <c r="W209" i="47"/>
  <c r="T181" i="47"/>
  <c r="W186" i="47"/>
  <c r="V176" i="47"/>
  <c r="W159" i="47"/>
  <c r="W154" i="47"/>
  <c r="W109" i="47"/>
  <c r="W108" i="47"/>
  <c r="U81" i="47"/>
  <c r="W104" i="47"/>
  <c r="W90" i="47"/>
  <c r="W80" i="47"/>
  <c r="W74" i="47"/>
  <c r="M70" i="47"/>
  <c r="O70" i="47" s="1"/>
  <c r="V66" i="47" s="1"/>
  <c r="W55" i="47"/>
  <c r="W49" i="47"/>
  <c r="W40" i="47"/>
  <c r="U25" i="47"/>
  <c r="W35" i="47"/>
  <c r="O190" i="47"/>
  <c r="U187" i="47" s="1"/>
  <c r="K120" i="47"/>
  <c r="K119" i="47"/>
  <c r="W98" i="47"/>
  <c r="M114" i="47"/>
  <c r="O114" i="47" s="1"/>
  <c r="U111" i="47" s="1"/>
  <c r="O191" i="47"/>
  <c r="V187" i="47" s="1"/>
  <c r="M148" i="47"/>
  <c r="O148" i="47" s="1"/>
  <c r="T146" i="47" s="1"/>
  <c r="W148" i="47"/>
  <c r="W133" i="47"/>
  <c r="W160" i="47"/>
  <c r="K100" i="47"/>
  <c r="M100" i="47" s="1"/>
  <c r="O100" i="47" s="1"/>
  <c r="V96" i="47" s="1"/>
  <c r="V81" i="47" s="1"/>
  <c r="W110" i="47"/>
  <c r="W94" i="47"/>
  <c r="W14" i="47"/>
  <c r="O143" i="47"/>
  <c r="S141" i="47"/>
  <c r="W189" i="47"/>
  <c r="M30" i="47"/>
  <c r="O30" i="47" s="1"/>
  <c r="V26" i="47" s="1"/>
  <c r="M60" i="47"/>
  <c r="O60" i="47" s="1"/>
  <c r="V56" i="47" s="1"/>
  <c r="W22" i="47"/>
  <c r="I150" i="47"/>
  <c r="K150" i="47" s="1"/>
  <c r="K149" i="47"/>
  <c r="M144" i="47"/>
  <c r="O144" i="47" s="1"/>
  <c r="U141" i="47" s="1"/>
  <c r="W195" i="47"/>
  <c r="W69" i="47"/>
  <c r="W204" i="47"/>
  <c r="K196" i="47"/>
  <c r="M196" i="47" s="1"/>
  <c r="O196" i="47" s="1"/>
  <c r="V192" i="47" s="1"/>
  <c r="M205" i="47"/>
  <c r="O205" i="47" s="1"/>
  <c r="U202" i="47" s="1"/>
  <c r="W165" i="47"/>
  <c r="K169" i="47"/>
  <c r="I170" i="47"/>
  <c r="K170" i="47" s="1"/>
  <c r="W64" i="47"/>
  <c r="W53" i="47"/>
  <c r="M206" i="47"/>
  <c r="O206" i="47" s="1"/>
  <c r="V202" i="47" s="1"/>
  <c r="K174" i="47"/>
  <c r="M174" i="47" s="1"/>
  <c r="I175" i="47"/>
  <c r="M168" i="47"/>
  <c r="O168" i="47" s="1"/>
  <c r="T166" i="47" s="1"/>
  <c r="M145" i="47"/>
  <c r="O145" i="47" s="1"/>
  <c r="V141" i="47" s="1"/>
  <c r="W164" i="47"/>
  <c r="O173" i="47"/>
  <c r="T171" i="47"/>
  <c r="K201" i="47"/>
  <c r="M201" i="47" s="1"/>
  <c r="O201" i="47" s="1"/>
  <c r="V197" i="47" s="1"/>
  <c r="W210" i="47"/>
  <c r="W131" i="47"/>
  <c r="M118" i="47"/>
  <c r="O118" i="47" s="1"/>
  <c r="T116" i="47" s="1"/>
  <c r="T106" i="47" s="1"/>
  <c r="K115" i="47"/>
  <c r="M115" i="47" s="1"/>
  <c r="O115" i="47" s="1"/>
  <c r="V111" i="47" s="1"/>
  <c r="W173" i="47"/>
  <c r="T81" i="47"/>
  <c r="W85" i="47"/>
  <c r="M65" i="47"/>
  <c r="O65" i="47" s="1"/>
  <c r="V61" i="47" s="1"/>
  <c r="M50" i="47"/>
  <c r="O50" i="47" s="1"/>
  <c r="V46" i="47" s="1"/>
  <c r="W50" i="47"/>
  <c r="W34" i="47"/>
  <c r="I55" i="46"/>
  <c r="K55" i="46" s="1"/>
  <c r="M55" i="46" s="1"/>
  <c r="F75" i="46"/>
  <c r="K74" i="46"/>
  <c r="K75" i="46" s="1"/>
  <c r="F74" i="46"/>
  <c r="M73" i="46"/>
  <c r="F73" i="46"/>
  <c r="M72" i="46"/>
  <c r="O72" i="46" s="1"/>
  <c r="W145" i="47" l="1"/>
  <c r="W196" i="47"/>
  <c r="W191" i="47"/>
  <c r="W100" i="47"/>
  <c r="W70" i="47"/>
  <c r="W30" i="47"/>
  <c r="O174" i="47"/>
  <c r="U171" i="47"/>
  <c r="M170" i="47"/>
  <c r="O170" i="47" s="1"/>
  <c r="V166" i="47" s="1"/>
  <c r="K175" i="47"/>
  <c r="M175" i="47" s="1"/>
  <c r="V25" i="47"/>
  <c r="W114" i="47"/>
  <c r="W190" i="47"/>
  <c r="W174" i="47"/>
  <c r="M150" i="47"/>
  <c r="O150" i="47" s="1"/>
  <c r="V146" i="47" s="1"/>
  <c r="M169" i="47"/>
  <c r="O169" i="47" s="1"/>
  <c r="U166" i="47" s="1"/>
  <c r="W115" i="47"/>
  <c r="W201" i="47"/>
  <c r="W206" i="47"/>
  <c r="V181" i="47"/>
  <c r="M119" i="47"/>
  <c r="O119" i="47" s="1"/>
  <c r="U116" i="47" s="1"/>
  <c r="U106" i="47" s="1"/>
  <c r="M120" i="47"/>
  <c r="O120" i="47" s="1"/>
  <c r="V116" i="47" s="1"/>
  <c r="V106" i="47" s="1"/>
  <c r="M149" i="47"/>
  <c r="O149" i="47" s="1"/>
  <c r="U146" i="47" s="1"/>
  <c r="T141" i="47"/>
  <c r="T126" i="47" s="1"/>
  <c r="T24" i="47" s="1"/>
  <c r="W143" i="47"/>
  <c r="W65" i="47"/>
  <c r="W118" i="47"/>
  <c r="W168" i="47"/>
  <c r="W205" i="47"/>
  <c r="W144" i="47"/>
  <c r="W60" i="47"/>
  <c r="U181" i="47"/>
  <c r="M75" i="46"/>
  <c r="O75" i="46" s="1"/>
  <c r="V71" i="46" s="1"/>
  <c r="M74" i="46"/>
  <c r="O74" i="46" s="1"/>
  <c r="U71" i="46" s="1"/>
  <c r="O73" i="46"/>
  <c r="T71" i="46" s="1"/>
  <c r="W73" i="46" l="1"/>
  <c r="W74" i="46"/>
  <c r="W169" i="47"/>
  <c r="U126" i="47"/>
  <c r="U24" i="47" s="1"/>
  <c r="W149" i="47"/>
  <c r="W119" i="47"/>
  <c r="W120" i="47"/>
  <c r="O175" i="47"/>
  <c r="V171" i="47"/>
  <c r="V126" i="47" s="1"/>
  <c r="V24" i="47" s="1"/>
  <c r="W150" i="47"/>
  <c r="W175" i="47"/>
  <c r="W170" i="47"/>
  <c r="W75" i="46"/>
  <c r="W181" i="46"/>
  <c r="H211" i="46"/>
  <c r="G211" i="46"/>
  <c r="F211" i="46"/>
  <c r="I210" i="46"/>
  <c r="I211" i="46" s="1"/>
  <c r="H210" i="46"/>
  <c r="G210" i="46"/>
  <c r="F210" i="46"/>
  <c r="G209" i="46"/>
  <c r="F209" i="46"/>
  <c r="O208" i="46"/>
  <c r="K208" i="46"/>
  <c r="K211" i="46" l="1"/>
  <c r="M211" i="46" s="1"/>
  <c r="O211" i="46" s="1"/>
  <c r="V207" i="46" s="1"/>
  <c r="W211" i="46"/>
  <c r="K209" i="46"/>
  <c r="M209" i="46" s="1"/>
  <c r="O209" i="46" s="1"/>
  <c r="T207" i="46" s="1"/>
  <c r="K210" i="46"/>
  <c r="M210" i="46" s="1"/>
  <c r="O210" i="46" s="1"/>
  <c r="U207" i="46" s="1"/>
  <c r="W126" i="46"/>
  <c r="W81" i="46"/>
  <c r="W210" i="46" l="1"/>
  <c r="W209" i="46"/>
  <c r="G140" i="46"/>
  <c r="G139" i="46"/>
  <c r="G138" i="46"/>
  <c r="I129" i="46"/>
  <c r="I130" i="46" s="1"/>
  <c r="I131" i="46" s="1"/>
  <c r="G131" i="46"/>
  <c r="G130" i="46"/>
  <c r="G129" i="46"/>
  <c r="G216" i="46" l="1"/>
  <c r="G215" i="46"/>
  <c r="G214" i="46"/>
  <c r="H206" i="46" l="1"/>
  <c r="H205" i="46"/>
  <c r="O203" i="46"/>
  <c r="I203" i="46"/>
  <c r="K203" i="46" s="1"/>
  <c r="G174" i="46"/>
  <c r="I173" i="46"/>
  <c r="I174" i="46" s="1"/>
  <c r="O172" i="46"/>
  <c r="K172" i="46"/>
  <c r="K131" i="46"/>
  <c r="F131" i="46"/>
  <c r="K130" i="46"/>
  <c r="F130" i="46"/>
  <c r="K129" i="46"/>
  <c r="F129" i="46"/>
  <c r="F70" i="46"/>
  <c r="K69" i="46"/>
  <c r="M69" i="46" s="1"/>
  <c r="O69" i="46" s="1"/>
  <c r="U66" i="46" s="1"/>
  <c r="F69" i="46"/>
  <c r="M68" i="46"/>
  <c r="F68" i="46"/>
  <c r="M67" i="46"/>
  <c r="O67" i="46" s="1"/>
  <c r="M130" i="46" l="1"/>
  <c r="O130" i="46" s="1"/>
  <c r="U127" i="46" s="1"/>
  <c r="I204" i="46"/>
  <c r="I205" i="46" s="1"/>
  <c r="M129" i="46"/>
  <c r="O129" i="46" s="1"/>
  <c r="T127" i="46" s="1"/>
  <c r="I206" i="46"/>
  <c r="K206" i="46" s="1"/>
  <c r="K205" i="46"/>
  <c r="K204" i="46"/>
  <c r="I175" i="46"/>
  <c r="K174" i="46"/>
  <c r="M174" i="46" s="1"/>
  <c r="K173" i="46"/>
  <c r="G175" i="46"/>
  <c r="M131" i="46"/>
  <c r="O131" i="46" s="1"/>
  <c r="V127" i="46" s="1"/>
  <c r="O68" i="46"/>
  <c r="T66" i="46" s="1"/>
  <c r="W69" i="46"/>
  <c r="K70" i="46"/>
  <c r="W130" i="46" l="1"/>
  <c r="W131" i="46"/>
  <c r="W129" i="46"/>
  <c r="M204" i="46"/>
  <c r="O204" i="46" s="1"/>
  <c r="T202" i="46" s="1"/>
  <c r="M205" i="46"/>
  <c r="O205" i="46" s="1"/>
  <c r="U202" i="46" s="1"/>
  <c r="M206" i="46"/>
  <c r="O206" i="46" s="1"/>
  <c r="V202" i="46" s="1"/>
  <c r="M173" i="46"/>
  <c r="W173" i="46"/>
  <c r="U171" i="46"/>
  <c r="O174" i="46"/>
  <c r="W174" i="46"/>
  <c r="K175" i="46"/>
  <c r="M175" i="46" s="1"/>
  <c r="W68" i="46"/>
  <c r="M70" i="46"/>
  <c r="O70" i="46" s="1"/>
  <c r="V66" i="46" s="1"/>
  <c r="W205" i="46" l="1"/>
  <c r="W204" i="46"/>
  <c r="W206" i="46"/>
  <c r="V171" i="46"/>
  <c r="O175" i="46"/>
  <c r="T171" i="46"/>
  <c r="O173" i="46"/>
  <c r="W175" i="46"/>
  <c r="W70" i="46"/>
  <c r="H216" i="46" l="1"/>
  <c r="F216" i="46"/>
  <c r="H215" i="46"/>
  <c r="F215" i="46"/>
  <c r="F214" i="46"/>
  <c r="O213" i="46"/>
  <c r="F201" i="46"/>
  <c r="F200" i="46"/>
  <c r="I200" i="46"/>
  <c r="K200" i="46" s="1"/>
  <c r="M200" i="46" s="1"/>
  <c r="O200" i="46" s="1"/>
  <c r="U197" i="46" s="1"/>
  <c r="F199" i="46"/>
  <c r="O198" i="46"/>
  <c r="F196" i="46"/>
  <c r="F195" i="46"/>
  <c r="I194" i="46"/>
  <c r="I195" i="46" s="1"/>
  <c r="F194" i="46"/>
  <c r="O193" i="46"/>
  <c r="K193" i="46"/>
  <c r="H191" i="46"/>
  <c r="F191" i="46"/>
  <c r="H190" i="46"/>
  <c r="F190" i="46"/>
  <c r="K189" i="46"/>
  <c r="K190" i="46" s="1"/>
  <c r="K191" i="46" s="1"/>
  <c r="G189" i="46"/>
  <c r="G190" i="46" s="1"/>
  <c r="F189" i="46"/>
  <c r="M188" i="46"/>
  <c r="O188" i="46" s="1"/>
  <c r="F186" i="46"/>
  <c r="G185" i="46"/>
  <c r="F185" i="46"/>
  <c r="I184" i="46"/>
  <c r="I185" i="46" s="1"/>
  <c r="I186" i="46" s="1"/>
  <c r="F184" i="46"/>
  <c r="O183" i="46"/>
  <c r="K183" i="46"/>
  <c r="F180" i="46"/>
  <c r="G179" i="46"/>
  <c r="F179" i="46"/>
  <c r="I179" i="46"/>
  <c r="I180" i="46" s="1"/>
  <c r="F178" i="46"/>
  <c r="O177" i="46"/>
  <c r="K177" i="46"/>
  <c r="H170" i="46"/>
  <c r="F170" i="46"/>
  <c r="H169" i="46"/>
  <c r="F169" i="46"/>
  <c r="F168" i="46"/>
  <c r="O167" i="46"/>
  <c r="I167" i="46"/>
  <c r="H165" i="46"/>
  <c r="F165" i="46"/>
  <c r="H164" i="46"/>
  <c r="F164" i="46"/>
  <c r="I163" i="46"/>
  <c r="K163" i="46" s="1"/>
  <c r="M163" i="46" s="1"/>
  <c r="O163" i="46" s="1"/>
  <c r="T161" i="46" s="1"/>
  <c r="F163" i="46"/>
  <c r="O162" i="46"/>
  <c r="K162" i="46"/>
  <c r="H160" i="46"/>
  <c r="F160" i="46"/>
  <c r="H159" i="46"/>
  <c r="F159" i="46"/>
  <c r="I158" i="46"/>
  <c r="I159" i="46" s="1"/>
  <c r="K159" i="46" s="1"/>
  <c r="F158" i="46"/>
  <c r="H155" i="46"/>
  <c r="F155" i="46"/>
  <c r="H154" i="46"/>
  <c r="F154" i="46"/>
  <c r="I153" i="46"/>
  <c r="K153" i="46" s="1"/>
  <c r="M153" i="46" s="1"/>
  <c r="O153" i="46" s="1"/>
  <c r="T151" i="46" s="1"/>
  <c r="F153" i="46"/>
  <c r="O152" i="46"/>
  <c r="K152" i="46"/>
  <c r="H150" i="46"/>
  <c r="F150" i="46"/>
  <c r="H149" i="46"/>
  <c r="F149" i="46"/>
  <c r="F148" i="46"/>
  <c r="O147" i="46"/>
  <c r="I147" i="46"/>
  <c r="H145" i="46"/>
  <c r="F145" i="46"/>
  <c r="H144" i="46"/>
  <c r="F144" i="46"/>
  <c r="I143" i="46"/>
  <c r="I144" i="46" s="1"/>
  <c r="F143" i="46"/>
  <c r="O142" i="46"/>
  <c r="K142" i="46"/>
  <c r="H140" i="46"/>
  <c r="F140" i="46"/>
  <c r="I139" i="46"/>
  <c r="I140" i="46" s="1"/>
  <c r="K140" i="46" s="1"/>
  <c r="H139" i="46"/>
  <c r="F139" i="46"/>
  <c r="K138" i="46"/>
  <c r="M138" i="46" s="1"/>
  <c r="F138" i="46"/>
  <c r="O137" i="46"/>
  <c r="K137" i="46"/>
  <c r="K135" i="46"/>
  <c r="M135" i="46" s="1"/>
  <c r="O135" i="46" s="1"/>
  <c r="V132" i="46" s="1"/>
  <c r="F135" i="46"/>
  <c r="K134" i="46"/>
  <c r="M134" i="46" s="1"/>
  <c r="O134" i="46" s="1"/>
  <c r="U132" i="46" s="1"/>
  <c r="F134" i="46"/>
  <c r="K133" i="46"/>
  <c r="M133" i="46" s="1"/>
  <c r="O133" i="46" s="1"/>
  <c r="T132" i="46" s="1"/>
  <c r="F133" i="46"/>
  <c r="F125" i="46"/>
  <c r="F124" i="46"/>
  <c r="I123" i="46"/>
  <c r="K123" i="46" s="1"/>
  <c r="M123" i="46" s="1"/>
  <c r="F123" i="46"/>
  <c r="K122" i="46"/>
  <c r="M122" i="46" s="1"/>
  <c r="O122" i="46" s="1"/>
  <c r="H120" i="46"/>
  <c r="F120" i="46"/>
  <c r="H119" i="46"/>
  <c r="F119" i="46"/>
  <c r="F118" i="46"/>
  <c r="I117" i="46"/>
  <c r="K117" i="46" s="1"/>
  <c r="F115" i="46"/>
  <c r="F114" i="46"/>
  <c r="I113" i="46"/>
  <c r="I114" i="46" s="1"/>
  <c r="I115" i="46" s="1"/>
  <c r="F113" i="46"/>
  <c r="K112" i="46"/>
  <c r="M112" i="46" s="1"/>
  <c r="O112" i="46" s="1"/>
  <c r="O110" i="46"/>
  <c r="Q110" i="46" s="1"/>
  <c r="V107" i="46" s="1"/>
  <c r="F110" i="46"/>
  <c r="O109" i="46"/>
  <c r="F109" i="46"/>
  <c r="O108" i="46"/>
  <c r="Q108" i="46" s="1"/>
  <c r="T107" i="46" s="1"/>
  <c r="F108" i="46"/>
  <c r="W106" i="46"/>
  <c r="F105" i="46"/>
  <c r="I104" i="46"/>
  <c r="K104" i="46" s="1"/>
  <c r="M104" i="46" s="1"/>
  <c r="O104" i="46" s="1"/>
  <c r="U101" i="46" s="1"/>
  <c r="F104" i="46"/>
  <c r="K103" i="46"/>
  <c r="M103" i="46" s="1"/>
  <c r="F103" i="46"/>
  <c r="J100" i="46"/>
  <c r="F100" i="46"/>
  <c r="J99" i="46"/>
  <c r="F99" i="46"/>
  <c r="J98" i="46"/>
  <c r="F98" i="46"/>
  <c r="K97" i="46"/>
  <c r="M97" i="46" s="1"/>
  <c r="O97" i="46" s="1"/>
  <c r="J95" i="46"/>
  <c r="H95" i="46"/>
  <c r="F95" i="46"/>
  <c r="K94" i="46"/>
  <c r="J94" i="46"/>
  <c r="H94" i="46"/>
  <c r="F94" i="46"/>
  <c r="M93" i="46"/>
  <c r="O93" i="46" s="1"/>
  <c r="T91" i="46" s="1"/>
  <c r="J93" i="46"/>
  <c r="F93" i="46"/>
  <c r="M92" i="46"/>
  <c r="O92" i="46" s="1"/>
  <c r="J90" i="46"/>
  <c r="H90" i="46"/>
  <c r="F90" i="46"/>
  <c r="J89" i="46"/>
  <c r="H89" i="46"/>
  <c r="F89" i="46"/>
  <c r="K88" i="46"/>
  <c r="J88" i="46"/>
  <c r="F88" i="46"/>
  <c r="M87" i="46"/>
  <c r="O87" i="46" s="1"/>
  <c r="M85" i="46"/>
  <c r="O85" i="46" s="1"/>
  <c r="F85" i="46"/>
  <c r="M84" i="46"/>
  <c r="O84" i="46" s="1"/>
  <c r="U82" i="46" s="1"/>
  <c r="F84" i="46"/>
  <c r="M83" i="46"/>
  <c r="F83" i="46"/>
  <c r="F80" i="46"/>
  <c r="K79" i="46"/>
  <c r="M79" i="46" s="1"/>
  <c r="O79" i="46" s="1"/>
  <c r="U76" i="46" s="1"/>
  <c r="F79" i="46"/>
  <c r="M78" i="46"/>
  <c r="O78" i="46" s="1"/>
  <c r="F78" i="46"/>
  <c r="M77" i="46"/>
  <c r="O77" i="46" s="1"/>
  <c r="F65" i="46"/>
  <c r="F64" i="46"/>
  <c r="K63" i="46"/>
  <c r="F63" i="46"/>
  <c r="M62" i="46"/>
  <c r="O62" i="46" s="1"/>
  <c r="F60" i="46"/>
  <c r="F59" i="46"/>
  <c r="K58" i="46"/>
  <c r="K59" i="46" s="1"/>
  <c r="F58" i="46"/>
  <c r="M57" i="46"/>
  <c r="O57" i="46" s="1"/>
  <c r="F55" i="46"/>
  <c r="F54" i="46"/>
  <c r="F53" i="46"/>
  <c r="M52" i="46"/>
  <c r="F50" i="46"/>
  <c r="K49" i="46"/>
  <c r="F49" i="46"/>
  <c r="F48" i="46"/>
  <c r="M47" i="46"/>
  <c r="O47" i="46" s="1"/>
  <c r="F45" i="46"/>
  <c r="K44" i="46"/>
  <c r="F44" i="46"/>
  <c r="M43" i="46"/>
  <c r="F43" i="46"/>
  <c r="J40" i="46"/>
  <c r="F40" i="46"/>
  <c r="J39" i="46"/>
  <c r="F39" i="46"/>
  <c r="J38" i="46"/>
  <c r="F38" i="46"/>
  <c r="M37" i="46"/>
  <c r="O37" i="46" s="1"/>
  <c r="J35" i="46"/>
  <c r="F35" i="46"/>
  <c r="J34" i="46"/>
  <c r="F34" i="46"/>
  <c r="K33" i="46"/>
  <c r="M33" i="46" s="1"/>
  <c r="O33" i="46" s="1"/>
  <c r="T31" i="46" s="1"/>
  <c r="J33" i="46"/>
  <c r="F33" i="46"/>
  <c r="M32" i="46"/>
  <c r="O32" i="46" s="1"/>
  <c r="J30" i="46"/>
  <c r="H30" i="46"/>
  <c r="F30" i="46"/>
  <c r="J29" i="46"/>
  <c r="H29" i="46"/>
  <c r="F29" i="46"/>
  <c r="J28" i="46"/>
  <c r="F28" i="46"/>
  <c r="M27" i="46"/>
  <c r="F23" i="46"/>
  <c r="O22" i="46"/>
  <c r="I23" i="46" s="1"/>
  <c r="K23" i="46" s="1"/>
  <c r="M23" i="46" s="1"/>
  <c r="V17" i="46" s="1"/>
  <c r="F21" i="46"/>
  <c r="O20" i="46"/>
  <c r="I21" i="46" s="1"/>
  <c r="K21" i="46" s="1"/>
  <c r="F19" i="46"/>
  <c r="O18" i="46"/>
  <c r="I19" i="46" s="1"/>
  <c r="K19" i="46" s="1"/>
  <c r="M19" i="46" s="1"/>
  <c r="T17" i="46" s="1"/>
  <c r="I14" i="46"/>
  <c r="I15" i="46" s="1"/>
  <c r="K15" i="46" s="1"/>
  <c r="M15" i="46" s="1"/>
  <c r="U13" i="46" s="1"/>
  <c r="W12" i="46"/>
  <c r="W11" i="46"/>
  <c r="K113" i="46" l="1"/>
  <c r="M58" i="46"/>
  <c r="O58" i="46" s="1"/>
  <c r="T56" i="46" s="1"/>
  <c r="W15" i="46"/>
  <c r="I154" i="46"/>
  <c r="I155" i="46" s="1"/>
  <c r="K155" i="46" s="1"/>
  <c r="I105" i="46"/>
  <c r="K105" i="46" s="1"/>
  <c r="M105" i="46" s="1"/>
  <c r="O105" i="46" s="1"/>
  <c r="V101" i="46" s="1"/>
  <c r="K185" i="46"/>
  <c r="M185" i="46" s="1"/>
  <c r="O185" i="46" s="1"/>
  <c r="U182" i="46" s="1"/>
  <c r="I16" i="46"/>
  <c r="K16" i="46" s="1"/>
  <c r="M16" i="46" s="1"/>
  <c r="V13" i="46" s="1"/>
  <c r="I118" i="46"/>
  <c r="I119" i="46" s="1"/>
  <c r="K184" i="46"/>
  <c r="M184" i="46" s="1"/>
  <c r="O184" i="46" s="1"/>
  <c r="T182" i="46" s="1"/>
  <c r="G186" i="46"/>
  <c r="K80" i="46"/>
  <c r="M80" i="46" s="1"/>
  <c r="O80" i="46" s="1"/>
  <c r="V76" i="46" s="1"/>
  <c r="K199" i="46"/>
  <c r="M199" i="46" s="1"/>
  <c r="O199" i="46" s="1"/>
  <c r="T197" i="46" s="1"/>
  <c r="I164" i="46"/>
  <c r="K164" i="46" s="1"/>
  <c r="K14" i="46"/>
  <c r="M14" i="46" s="1"/>
  <c r="T13" i="46" s="1"/>
  <c r="T12" i="46" s="1"/>
  <c r="T11" i="46" s="1"/>
  <c r="W108" i="46"/>
  <c r="M48" i="46"/>
  <c r="O48" i="46" s="1"/>
  <c r="T46" i="46" s="1"/>
  <c r="M49" i="46"/>
  <c r="O49" i="46" s="1"/>
  <c r="U46" i="46" s="1"/>
  <c r="K50" i="46"/>
  <c r="M140" i="46"/>
  <c r="O140" i="46" s="1"/>
  <c r="V136" i="46" s="1"/>
  <c r="O138" i="46"/>
  <c r="T136" i="46" s="1"/>
  <c r="S136" i="46"/>
  <c r="K139" i="46"/>
  <c r="M139" i="46" s="1"/>
  <c r="O139" i="46" s="1"/>
  <c r="U136" i="46" s="1"/>
  <c r="K178" i="46"/>
  <c r="M178" i="46" s="1"/>
  <c r="O83" i="46"/>
  <c r="T82" i="46" s="1"/>
  <c r="W110" i="46"/>
  <c r="O123" i="46"/>
  <c r="T121" i="46" s="1"/>
  <c r="W79" i="46"/>
  <c r="W58" i="46"/>
  <c r="M50" i="46"/>
  <c r="O50" i="46" s="1"/>
  <c r="V46" i="46" s="1"/>
  <c r="M59" i="46"/>
  <c r="O59" i="46" s="1"/>
  <c r="U56" i="46" s="1"/>
  <c r="W85" i="46"/>
  <c r="V82" i="46"/>
  <c r="M94" i="46"/>
  <c r="O94" i="46" s="1"/>
  <c r="U91" i="46" s="1"/>
  <c r="W22" i="46"/>
  <c r="K195" i="46"/>
  <c r="M195" i="46" s="1"/>
  <c r="O195" i="46" s="1"/>
  <c r="U192" i="46" s="1"/>
  <c r="I196" i="46"/>
  <c r="M21" i="46"/>
  <c r="U17" i="46" s="1"/>
  <c r="U12" i="46" s="1"/>
  <c r="U11" i="46" s="1"/>
  <c r="W33" i="46"/>
  <c r="K45" i="46"/>
  <c r="O103" i="46"/>
  <c r="M44" i="46"/>
  <c r="O44" i="46" s="1"/>
  <c r="U41" i="46" s="1"/>
  <c r="T76" i="46"/>
  <c r="W78" i="46"/>
  <c r="K95" i="46"/>
  <c r="I145" i="46"/>
  <c r="K145" i="46" s="1"/>
  <c r="K144" i="46"/>
  <c r="M159" i="46"/>
  <c r="O159" i="46" s="1"/>
  <c r="U156" i="46" s="1"/>
  <c r="M190" i="46"/>
  <c r="G191" i="46"/>
  <c r="M191" i="46" s="1"/>
  <c r="W18" i="46"/>
  <c r="K60" i="46"/>
  <c r="K64" i="46"/>
  <c r="M63" i="46"/>
  <c r="O63" i="46" s="1"/>
  <c r="T61" i="46" s="1"/>
  <c r="K147" i="46"/>
  <c r="I148" i="46"/>
  <c r="K179" i="46"/>
  <c r="M179" i="46" s="1"/>
  <c r="K213" i="46"/>
  <c r="W14" i="46"/>
  <c r="K39" i="46"/>
  <c r="O55" i="46"/>
  <c r="V51" i="46" s="1"/>
  <c r="M113" i="46"/>
  <c r="O113" i="46" s="1"/>
  <c r="T111" i="46" s="1"/>
  <c r="K143" i="46"/>
  <c r="K154" i="46"/>
  <c r="W163" i="46"/>
  <c r="I168" i="46"/>
  <c r="K167" i="46"/>
  <c r="O43" i="46"/>
  <c r="T41" i="46" s="1"/>
  <c r="O53" i="46"/>
  <c r="T51" i="46" s="1"/>
  <c r="W84" i="46"/>
  <c r="I99" i="46"/>
  <c r="K98" i="46"/>
  <c r="W104" i="46"/>
  <c r="Q109" i="46"/>
  <c r="U107" i="46" s="1"/>
  <c r="K115" i="46"/>
  <c r="M115" i="46" s="1"/>
  <c r="O115" i="46" s="1"/>
  <c r="V111" i="46" s="1"/>
  <c r="W134" i="46"/>
  <c r="I201" i="46"/>
  <c r="W200" i="46"/>
  <c r="W93" i="46"/>
  <c r="M28" i="46"/>
  <c r="O28" i="46" s="1"/>
  <c r="T26" i="46" s="1"/>
  <c r="K29" i="46"/>
  <c r="K34" i="46"/>
  <c r="M38" i="46"/>
  <c r="O38" i="46" s="1"/>
  <c r="T36" i="46" s="1"/>
  <c r="K118" i="46"/>
  <c r="I124" i="46"/>
  <c r="I160" i="46"/>
  <c r="K160" i="46" s="1"/>
  <c r="K89" i="46"/>
  <c r="M88" i="46"/>
  <c r="K114" i="46"/>
  <c r="W133" i="46"/>
  <c r="W135" i="46"/>
  <c r="W153" i="46"/>
  <c r="G180" i="46"/>
  <c r="K186" i="46"/>
  <c r="M186" i="46" s="1"/>
  <c r="O186" i="46" s="1"/>
  <c r="V182" i="46" s="1"/>
  <c r="M189" i="46"/>
  <c r="K194" i="46"/>
  <c r="M194" i="46" s="1"/>
  <c r="O194" i="46" s="1"/>
  <c r="T192" i="46" s="1"/>
  <c r="K158" i="46"/>
  <c r="W25" i="42"/>
  <c r="W24" i="42"/>
  <c r="W24" i="45"/>
  <c r="T25" i="46" l="1"/>
  <c r="W140" i="46"/>
  <c r="W48" i="46"/>
  <c r="W185" i="46"/>
  <c r="I165" i="46"/>
  <c r="K165" i="46" s="1"/>
  <c r="M165" i="46" s="1"/>
  <c r="O165" i="46" s="1"/>
  <c r="V161" i="46" s="1"/>
  <c r="W199" i="46"/>
  <c r="W186" i="46"/>
  <c r="W105" i="46"/>
  <c r="W194" i="46"/>
  <c r="W184" i="46"/>
  <c r="W55" i="46"/>
  <c r="W103" i="46"/>
  <c r="T101" i="46"/>
  <c r="V12" i="46"/>
  <c r="V11" i="46" s="1"/>
  <c r="W138" i="46"/>
  <c r="O54" i="46"/>
  <c r="U51" i="46" s="1"/>
  <c r="W50" i="46"/>
  <c r="W49" i="46"/>
  <c r="W139" i="46"/>
  <c r="W123" i="46"/>
  <c r="O178" i="46"/>
  <c r="T176" i="46"/>
  <c r="W178" i="46"/>
  <c r="W109" i="46"/>
  <c r="W83" i="46"/>
  <c r="O189" i="46"/>
  <c r="T187" i="46" s="1"/>
  <c r="W80" i="46"/>
  <c r="O88" i="46"/>
  <c r="T86" i="46" s="1"/>
  <c r="K119" i="46"/>
  <c r="I120" i="46"/>
  <c r="K120" i="46" s="1"/>
  <c r="M89" i="46"/>
  <c r="O89" i="46" s="1"/>
  <c r="U86" i="46" s="1"/>
  <c r="K90" i="46"/>
  <c r="K214" i="46"/>
  <c r="I215" i="46"/>
  <c r="M144" i="46"/>
  <c r="O144" i="46" s="1"/>
  <c r="U141" i="46" s="1"/>
  <c r="W195" i="46"/>
  <c r="M158" i="46"/>
  <c r="O158" i="46" s="1"/>
  <c r="T156" i="46" s="1"/>
  <c r="M34" i="46"/>
  <c r="O34" i="46" s="1"/>
  <c r="U31" i="46" s="1"/>
  <c r="K35" i="46"/>
  <c r="M154" i="46"/>
  <c r="O154" i="46" s="1"/>
  <c r="U151" i="46" s="1"/>
  <c r="U176" i="46"/>
  <c r="O179" i="46"/>
  <c r="W63" i="46"/>
  <c r="M145" i="46"/>
  <c r="O145" i="46" s="1"/>
  <c r="V141" i="46" s="1"/>
  <c r="W115" i="46"/>
  <c r="W59" i="46"/>
  <c r="K180" i="46"/>
  <c r="M180" i="46" s="1"/>
  <c r="M160" i="46"/>
  <c r="O160" i="46" s="1"/>
  <c r="V156" i="46" s="1"/>
  <c r="K30" i="46"/>
  <c r="M29" i="46"/>
  <c r="O29" i="46" s="1"/>
  <c r="U26" i="46" s="1"/>
  <c r="K201" i="46"/>
  <c r="M201" i="46" s="1"/>
  <c r="O201" i="46" s="1"/>
  <c r="V197" i="46" s="1"/>
  <c r="M98" i="46"/>
  <c r="O98" i="46" s="1"/>
  <c r="T96" i="46" s="1"/>
  <c r="M155" i="46"/>
  <c r="O155" i="46" s="1"/>
  <c r="V151" i="46" s="1"/>
  <c r="W53" i="46"/>
  <c r="W179" i="46"/>
  <c r="K65" i="46"/>
  <c r="M64" i="46"/>
  <c r="O64" i="46" s="1"/>
  <c r="U61" i="46" s="1"/>
  <c r="O191" i="46"/>
  <c r="V187" i="46" s="1"/>
  <c r="W44" i="46"/>
  <c r="W16" i="46"/>
  <c r="W113" i="46"/>
  <c r="W94" i="46"/>
  <c r="M114" i="46"/>
  <c r="O114" i="46" s="1"/>
  <c r="U111" i="46" s="1"/>
  <c r="K124" i="46"/>
  <c r="I125" i="46"/>
  <c r="K125" i="46" s="1"/>
  <c r="K99" i="46"/>
  <c r="I100" i="46"/>
  <c r="M143" i="46"/>
  <c r="M39" i="46"/>
  <c r="O39" i="46" s="1"/>
  <c r="U36" i="46" s="1"/>
  <c r="K40" i="46"/>
  <c r="I149" i="46"/>
  <c r="K148" i="46"/>
  <c r="M60" i="46"/>
  <c r="O60" i="46" s="1"/>
  <c r="V56" i="46" s="1"/>
  <c r="O190" i="46"/>
  <c r="U187" i="46" s="1"/>
  <c r="M95" i="46"/>
  <c r="O95" i="46" s="1"/>
  <c r="V91" i="46" s="1"/>
  <c r="M45" i="46"/>
  <c r="O45" i="46" s="1"/>
  <c r="V41" i="46" s="1"/>
  <c r="K168" i="46"/>
  <c r="I169" i="46"/>
  <c r="M164" i="46"/>
  <c r="O164" i="46" s="1"/>
  <c r="U161" i="46" s="1"/>
  <c r="M118" i="46"/>
  <c r="O118" i="46" s="1"/>
  <c r="T116" i="46" s="1"/>
  <c r="T106" i="46" s="1"/>
  <c r="W159" i="46"/>
  <c r="W38" i="46"/>
  <c r="K196" i="46"/>
  <c r="M196" i="46" s="1"/>
  <c r="O196" i="46" s="1"/>
  <c r="V192" i="46" s="1"/>
  <c r="W43" i="46"/>
  <c r="W28" i="46"/>
  <c r="W20" i="46"/>
  <c r="I119" i="45"/>
  <c r="I144" i="45"/>
  <c r="H192" i="45"/>
  <c r="H191" i="45"/>
  <c r="I189" i="45"/>
  <c r="I190" i="45" s="1"/>
  <c r="H187" i="45"/>
  <c r="H186" i="45"/>
  <c r="I184" i="45"/>
  <c r="I185" i="45" s="1"/>
  <c r="H182" i="45"/>
  <c r="H181" i="45"/>
  <c r="I179" i="45"/>
  <c r="K179" i="45" s="1"/>
  <c r="J177" i="45"/>
  <c r="H177" i="45"/>
  <c r="J176" i="45"/>
  <c r="H176" i="45"/>
  <c r="K174" i="45"/>
  <c r="M174" i="45" s="1"/>
  <c r="H172" i="45"/>
  <c r="H171" i="45"/>
  <c r="I169" i="45"/>
  <c r="I170" i="45" s="1"/>
  <c r="W167" i="45"/>
  <c r="H166" i="45"/>
  <c r="H165" i="45"/>
  <c r="I164" i="45"/>
  <c r="K164" i="45" s="1"/>
  <c r="K163" i="45"/>
  <c r="I163" i="45"/>
  <c r="H161" i="45"/>
  <c r="H160" i="45"/>
  <c r="I158" i="45"/>
  <c r="K158" i="45" s="1"/>
  <c r="H156" i="45"/>
  <c r="H155" i="45"/>
  <c r="I153" i="45"/>
  <c r="I154" i="45" s="1"/>
  <c r="I155" i="45" s="1"/>
  <c r="H151" i="45"/>
  <c r="H150" i="45"/>
  <c r="I148" i="45"/>
  <c r="K148" i="45" s="1"/>
  <c r="H146" i="45"/>
  <c r="H145" i="45"/>
  <c r="H141" i="45"/>
  <c r="H140" i="45"/>
  <c r="I138" i="45"/>
  <c r="H136" i="45"/>
  <c r="H135" i="45"/>
  <c r="I133" i="45"/>
  <c r="I134" i="45" s="1"/>
  <c r="H131" i="45"/>
  <c r="H130" i="45"/>
  <c r="I129" i="45"/>
  <c r="I128" i="45"/>
  <c r="K128" i="45" s="1"/>
  <c r="K126" i="45"/>
  <c r="M126" i="45" s="1"/>
  <c r="U123" i="45" s="1"/>
  <c r="K125" i="45"/>
  <c r="K124" i="45"/>
  <c r="M124" i="45" s="1"/>
  <c r="S123" i="45" s="1"/>
  <c r="W122" i="45"/>
  <c r="H121" i="45"/>
  <c r="H120" i="45"/>
  <c r="K118" i="45"/>
  <c r="K119" i="45"/>
  <c r="H116" i="45"/>
  <c r="H115" i="45"/>
  <c r="I113" i="45"/>
  <c r="K113" i="45" s="1"/>
  <c r="H111" i="45"/>
  <c r="H110" i="45"/>
  <c r="I108" i="45"/>
  <c r="I109" i="45" s="1"/>
  <c r="O106" i="45"/>
  <c r="Q106" i="45" s="1"/>
  <c r="W106" i="45" s="1"/>
  <c r="O105" i="45"/>
  <c r="O104" i="45"/>
  <c r="Q104" i="45" s="1"/>
  <c r="W102" i="45"/>
  <c r="H101" i="45"/>
  <c r="H100" i="45"/>
  <c r="I98" i="45"/>
  <c r="I99" i="45" s="1"/>
  <c r="K99" i="45" s="1"/>
  <c r="H96" i="45"/>
  <c r="H95" i="45"/>
  <c r="I93" i="45"/>
  <c r="I94" i="45" s="1"/>
  <c r="I95" i="45" s="1"/>
  <c r="I96" i="45" s="1"/>
  <c r="K96" i="45" s="1"/>
  <c r="J91" i="45"/>
  <c r="H91" i="45"/>
  <c r="J90" i="45"/>
  <c r="H90" i="45"/>
  <c r="K88" i="45"/>
  <c r="J86" i="45"/>
  <c r="H86" i="45"/>
  <c r="J85" i="45"/>
  <c r="H85" i="45"/>
  <c r="K83" i="45"/>
  <c r="K84" i="45" s="1"/>
  <c r="W81" i="45"/>
  <c r="M80" i="45"/>
  <c r="O80" i="45" s="1"/>
  <c r="U77" i="45" s="1"/>
  <c r="U76" i="45" s="1"/>
  <c r="M79" i="45"/>
  <c r="O79" i="45" s="1"/>
  <c r="M78" i="45"/>
  <c r="W76" i="45"/>
  <c r="M74" i="45"/>
  <c r="O74" i="45" s="1"/>
  <c r="U70" i="45" s="1"/>
  <c r="M73" i="45"/>
  <c r="M72" i="45"/>
  <c r="O72" i="45" s="1"/>
  <c r="S70" i="45" s="1"/>
  <c r="J69" i="45"/>
  <c r="H69" i="45"/>
  <c r="J68" i="45"/>
  <c r="H68" i="45"/>
  <c r="K66" i="45"/>
  <c r="W64" i="45"/>
  <c r="J63" i="45"/>
  <c r="H63" i="45"/>
  <c r="J62" i="45"/>
  <c r="H62" i="45"/>
  <c r="K60" i="45"/>
  <c r="K61" i="45" s="1"/>
  <c r="J58" i="45"/>
  <c r="H58" i="45"/>
  <c r="J57" i="45"/>
  <c r="H57" i="45"/>
  <c r="K55" i="45"/>
  <c r="W53" i="45"/>
  <c r="J52" i="45"/>
  <c r="H52" i="45"/>
  <c r="J51" i="45"/>
  <c r="H51" i="45"/>
  <c r="K49" i="45"/>
  <c r="K50" i="45" s="1"/>
  <c r="J47" i="45"/>
  <c r="H47" i="45"/>
  <c r="J46" i="45"/>
  <c r="H46" i="45"/>
  <c r="K44" i="45"/>
  <c r="K45" i="45" s="1"/>
  <c r="W42" i="45"/>
  <c r="J41" i="45"/>
  <c r="H41" i="45"/>
  <c r="J40" i="45"/>
  <c r="H40" i="45"/>
  <c r="K38" i="45"/>
  <c r="K39" i="45" s="1"/>
  <c r="M39" i="45" s="1"/>
  <c r="J36" i="45"/>
  <c r="H36" i="45"/>
  <c r="J35" i="45"/>
  <c r="H35" i="45"/>
  <c r="K33" i="45"/>
  <c r="M33" i="45" s="1"/>
  <c r="J31" i="45"/>
  <c r="H31" i="45"/>
  <c r="J30" i="45"/>
  <c r="H30" i="45"/>
  <c r="K28" i="45"/>
  <c r="K29" i="45" s="1"/>
  <c r="W26" i="45"/>
  <c r="W25" i="45"/>
  <c r="O22" i="45"/>
  <c r="I23" i="45" s="1"/>
  <c r="K23" i="45" s="1"/>
  <c r="M23" i="45" s="1"/>
  <c r="U17" i="45" s="1"/>
  <c r="O20" i="45"/>
  <c r="I21" i="45" s="1"/>
  <c r="K21" i="45" s="1"/>
  <c r="M21" i="45" s="1"/>
  <c r="T17" i="45" s="1"/>
  <c r="O18" i="45"/>
  <c r="I19" i="45" s="1"/>
  <c r="K19" i="45" s="1"/>
  <c r="M19" i="45" s="1"/>
  <c r="S17" i="45" s="1"/>
  <c r="I14" i="45"/>
  <c r="K14" i="45" s="1"/>
  <c r="W12" i="45"/>
  <c r="W11" i="45"/>
  <c r="K134" i="45" l="1"/>
  <c r="I135" i="45"/>
  <c r="I110" i="45"/>
  <c r="K110" i="45" s="1"/>
  <c r="K109" i="45"/>
  <c r="W98" i="46"/>
  <c r="K93" i="45"/>
  <c r="K153" i="45"/>
  <c r="K108" i="45"/>
  <c r="W18" i="45"/>
  <c r="K34" i="45"/>
  <c r="M34" i="45" s="1"/>
  <c r="O34" i="45" s="1"/>
  <c r="S32" i="45" s="1"/>
  <c r="K100" i="46"/>
  <c r="K133" i="45"/>
  <c r="K98" i="45"/>
  <c r="W126" i="45"/>
  <c r="T81" i="46"/>
  <c r="U25" i="46"/>
  <c r="W54" i="46"/>
  <c r="W191" i="46"/>
  <c r="W180" i="46"/>
  <c r="W34" i="46"/>
  <c r="W144" i="46"/>
  <c r="W189" i="46"/>
  <c r="W196" i="46"/>
  <c r="W164" i="46"/>
  <c r="W190" i="46"/>
  <c r="W155" i="46"/>
  <c r="W165" i="46"/>
  <c r="W88" i="46"/>
  <c r="W89" i="46"/>
  <c r="M90" i="46"/>
  <c r="O90" i="46" s="1"/>
  <c r="V86" i="46" s="1"/>
  <c r="W39" i="46"/>
  <c r="M125" i="46"/>
  <c r="O125" i="46" s="1"/>
  <c r="V121" i="46" s="1"/>
  <c r="W95" i="46"/>
  <c r="M148" i="46"/>
  <c r="O148" i="46" s="1"/>
  <c r="T146" i="46" s="1"/>
  <c r="S141" i="46"/>
  <c r="O143" i="46"/>
  <c r="W114" i="46"/>
  <c r="W160" i="46"/>
  <c r="M120" i="46"/>
  <c r="O120" i="46" s="1"/>
  <c r="V116" i="46" s="1"/>
  <c r="V106" i="46" s="1"/>
  <c r="W64" i="46"/>
  <c r="K149" i="46"/>
  <c r="I150" i="46"/>
  <c r="K150" i="46" s="1"/>
  <c r="M100" i="46"/>
  <c r="O100" i="46" s="1"/>
  <c r="V96" i="46" s="1"/>
  <c r="W201" i="46"/>
  <c r="W154" i="46"/>
  <c r="I216" i="46"/>
  <c r="K216" i="46" s="1"/>
  <c r="K215" i="46"/>
  <c r="M119" i="46"/>
  <c r="O119" i="46" s="1"/>
  <c r="U116" i="46" s="1"/>
  <c r="U106" i="46" s="1"/>
  <c r="M168" i="46"/>
  <c r="O168" i="46" s="1"/>
  <c r="T166" i="46" s="1"/>
  <c r="W118" i="46"/>
  <c r="W45" i="46"/>
  <c r="W60" i="46"/>
  <c r="M124" i="46"/>
  <c r="O124" i="46" s="1"/>
  <c r="U121" i="46" s="1"/>
  <c r="K169" i="46"/>
  <c r="I170" i="46"/>
  <c r="K170" i="46" s="1"/>
  <c r="M40" i="46"/>
  <c r="O40" i="46" s="1"/>
  <c r="V36" i="46" s="1"/>
  <c r="M99" i="46"/>
  <c r="W29" i="46"/>
  <c r="O180" i="46"/>
  <c r="V176" i="46"/>
  <c r="W145" i="46"/>
  <c r="W158" i="46"/>
  <c r="M214" i="46"/>
  <c r="O214" i="46" s="1"/>
  <c r="T212" i="46" s="1"/>
  <c r="M65" i="46"/>
  <c r="O65" i="46" s="1"/>
  <c r="V61" i="46" s="1"/>
  <c r="M30" i="46"/>
  <c r="O30" i="46" s="1"/>
  <c r="V26" i="46" s="1"/>
  <c r="M35" i="46"/>
  <c r="O35" i="46" s="1"/>
  <c r="V31" i="46" s="1"/>
  <c r="K51" i="45"/>
  <c r="K52" i="45" s="1"/>
  <c r="M52" i="45" s="1"/>
  <c r="O52" i="45" s="1"/>
  <c r="M50" i="45"/>
  <c r="K85" i="45"/>
  <c r="M84" i="45"/>
  <c r="W104" i="45"/>
  <c r="S103" i="45"/>
  <c r="M38" i="45"/>
  <c r="I15" i="45"/>
  <c r="M28" i="45"/>
  <c r="K35" i="45"/>
  <c r="M49" i="45"/>
  <c r="M83" i="45"/>
  <c r="I149" i="45"/>
  <c r="K149" i="45" s="1"/>
  <c r="M149" i="45" s="1"/>
  <c r="S147" i="45" s="1"/>
  <c r="K154" i="45"/>
  <c r="K175" i="45"/>
  <c r="K176" i="45" s="1"/>
  <c r="M176" i="45" s="1"/>
  <c r="I180" i="45"/>
  <c r="K180" i="45" s="1"/>
  <c r="I114" i="45"/>
  <c r="I115" i="45" s="1"/>
  <c r="W20" i="45"/>
  <c r="K95" i="45"/>
  <c r="I159" i="45"/>
  <c r="K184" i="45"/>
  <c r="I165" i="45"/>
  <c r="K165" i="45" s="1"/>
  <c r="M45" i="45"/>
  <c r="K46" i="45"/>
  <c r="K56" i="45"/>
  <c r="M55" i="45"/>
  <c r="M14" i="45"/>
  <c r="S13" i="45" s="1"/>
  <c r="S12" i="45" s="1"/>
  <c r="S11" i="45" s="1"/>
  <c r="W22" i="45"/>
  <c r="M29" i="45"/>
  <c r="K30" i="45"/>
  <c r="K40" i="45"/>
  <c r="K62" i="45"/>
  <c r="M61" i="45"/>
  <c r="O39" i="45"/>
  <c r="S37" i="45" s="1"/>
  <c r="W74" i="45"/>
  <c r="W80" i="45"/>
  <c r="O84" i="45"/>
  <c r="S82" i="45" s="1"/>
  <c r="W84" i="45"/>
  <c r="K15" i="45"/>
  <c r="M15" i="45" s="1"/>
  <c r="T13" i="45" s="1"/>
  <c r="T12" i="45" s="1"/>
  <c r="T11" i="45" s="1"/>
  <c r="W34" i="45"/>
  <c r="I16" i="45"/>
  <c r="M85" i="45"/>
  <c r="K86" i="45"/>
  <c r="M86" i="45" s="1"/>
  <c r="M95" i="45"/>
  <c r="T92" i="45" s="1"/>
  <c r="Q105" i="45"/>
  <c r="T103" i="45" s="1"/>
  <c r="K144" i="45"/>
  <c r="I145" i="45"/>
  <c r="K155" i="45"/>
  <c r="I156" i="45"/>
  <c r="K156" i="45" s="1"/>
  <c r="K114" i="45"/>
  <c r="K129" i="45"/>
  <c r="I130" i="45"/>
  <c r="K138" i="45"/>
  <c r="I139" i="45"/>
  <c r="K177" i="45"/>
  <c r="M177" i="45" s="1"/>
  <c r="M180" i="45"/>
  <c r="S178" i="45" s="1"/>
  <c r="M60" i="45"/>
  <c r="W72" i="45"/>
  <c r="O78" i="45"/>
  <c r="S77" i="45" s="1"/>
  <c r="S76" i="45" s="1"/>
  <c r="M96" i="45"/>
  <c r="U92" i="45" s="1"/>
  <c r="I100" i="45"/>
  <c r="W124" i="45"/>
  <c r="M134" i="45"/>
  <c r="S132" i="45" s="1"/>
  <c r="M154" i="45"/>
  <c r="S152" i="45" s="1"/>
  <c r="K159" i="45"/>
  <c r="I160" i="45"/>
  <c r="K190" i="45"/>
  <c r="I191" i="45"/>
  <c r="M99" i="45"/>
  <c r="S97" i="45" s="1"/>
  <c r="M109" i="45"/>
  <c r="S107" i="45" s="1"/>
  <c r="M119" i="45"/>
  <c r="S117" i="45" s="1"/>
  <c r="M44" i="45"/>
  <c r="K67" i="45"/>
  <c r="M66" i="45"/>
  <c r="O73" i="45"/>
  <c r="T70" i="45" s="1"/>
  <c r="W79" i="45"/>
  <c r="T77" i="45"/>
  <c r="T76" i="45" s="1"/>
  <c r="M88" i="45"/>
  <c r="K89" i="45"/>
  <c r="K94" i="45"/>
  <c r="M110" i="45"/>
  <c r="T107" i="45" s="1"/>
  <c r="I120" i="45"/>
  <c r="M164" i="45"/>
  <c r="S162" i="45" s="1"/>
  <c r="K170" i="45"/>
  <c r="I171" i="45"/>
  <c r="K135" i="45"/>
  <c r="I136" i="45"/>
  <c r="K136" i="45" s="1"/>
  <c r="K185" i="45"/>
  <c r="I186" i="45"/>
  <c r="U103" i="45"/>
  <c r="M125" i="45"/>
  <c r="T123" i="45" s="1"/>
  <c r="K143" i="45"/>
  <c r="M175" i="45"/>
  <c r="I111" i="45"/>
  <c r="K111" i="45" s="1"/>
  <c r="I181" i="45"/>
  <c r="K169" i="45"/>
  <c r="K189" i="45"/>
  <c r="W75" i="42"/>
  <c r="W64" i="42"/>
  <c r="U48" i="45" l="1"/>
  <c r="W52" i="45"/>
  <c r="T181" i="46"/>
  <c r="I166" i="45"/>
  <c r="K166" i="45" s="1"/>
  <c r="I150" i="45"/>
  <c r="M51" i="45"/>
  <c r="V25" i="46"/>
  <c r="W100" i="46"/>
  <c r="W149" i="45"/>
  <c r="O99" i="46"/>
  <c r="U96" i="46" s="1"/>
  <c r="U81" i="46" s="1"/>
  <c r="U24" i="46" s="1"/>
  <c r="W99" i="46"/>
  <c r="V81" i="46"/>
  <c r="W120" i="46"/>
  <c r="W168" i="46"/>
  <c r="W35" i="46"/>
  <c r="W214" i="46"/>
  <c r="W124" i="46"/>
  <c r="W90" i="46"/>
  <c r="W125" i="46"/>
  <c r="W40" i="46"/>
  <c r="W119" i="46"/>
  <c r="W148" i="46"/>
  <c r="W30" i="46"/>
  <c r="M170" i="46"/>
  <c r="O170" i="46" s="1"/>
  <c r="V166" i="46" s="1"/>
  <c r="M215" i="46"/>
  <c r="O215" i="46" s="1"/>
  <c r="U212" i="46" s="1"/>
  <c r="U181" i="46" s="1"/>
  <c r="M169" i="46"/>
  <c r="O169" i="46" s="1"/>
  <c r="U166" i="46" s="1"/>
  <c r="M216" i="46"/>
  <c r="O216" i="46" s="1"/>
  <c r="V212" i="46" s="1"/>
  <c r="V181" i="46" s="1"/>
  <c r="M150" i="46"/>
  <c r="O150" i="46" s="1"/>
  <c r="V146" i="46" s="1"/>
  <c r="V126" i="46" s="1"/>
  <c r="W65" i="46"/>
  <c r="M149" i="46"/>
  <c r="O149" i="46" s="1"/>
  <c r="U146" i="46" s="1"/>
  <c r="U126" i="46" s="1"/>
  <c r="T141" i="46"/>
  <c r="T126" i="46" s="1"/>
  <c r="T24" i="46" s="1"/>
  <c r="W143" i="46"/>
  <c r="W95" i="45"/>
  <c r="W15" i="45"/>
  <c r="W180" i="45"/>
  <c r="M35" i="45"/>
  <c r="K36" i="45"/>
  <c r="M36" i="45" s="1"/>
  <c r="O36" i="45" s="1"/>
  <c r="U32" i="45" s="1"/>
  <c r="W109" i="45"/>
  <c r="W154" i="45"/>
  <c r="W105" i="45"/>
  <c r="W50" i="45"/>
  <c r="O50" i="45"/>
  <c r="S48" i="45" s="1"/>
  <c r="K191" i="45"/>
  <c r="I192" i="45"/>
  <c r="K192" i="45" s="1"/>
  <c r="M129" i="45"/>
  <c r="S127" i="45" s="1"/>
  <c r="W119" i="45"/>
  <c r="W134" i="45"/>
  <c r="O176" i="45"/>
  <c r="T173" i="45" s="1"/>
  <c r="I161" i="45"/>
  <c r="K161" i="45" s="1"/>
  <c r="K160" i="45"/>
  <c r="O177" i="45"/>
  <c r="U173" i="45" s="1"/>
  <c r="I116" i="45"/>
  <c r="K116" i="45" s="1"/>
  <c r="K115" i="45"/>
  <c r="M144" i="45"/>
  <c r="S142" i="45" s="1"/>
  <c r="W144" i="45"/>
  <c r="O85" i="45"/>
  <c r="T82" i="45" s="1"/>
  <c r="W85" i="45"/>
  <c r="O61" i="45"/>
  <c r="S59" i="45" s="1"/>
  <c r="M166" i="45"/>
  <c r="U162" i="45" s="1"/>
  <c r="M56" i="45"/>
  <c r="K57" i="45"/>
  <c r="K120" i="45"/>
  <c r="I121" i="45"/>
  <c r="K121" i="45" s="1"/>
  <c r="W96" i="45"/>
  <c r="K150" i="45"/>
  <c r="I151" i="45"/>
  <c r="K151" i="45" s="1"/>
  <c r="K186" i="45"/>
  <c r="I187" i="45"/>
  <c r="K187" i="45" s="1"/>
  <c r="M170" i="45"/>
  <c r="S168" i="45" s="1"/>
  <c r="M94" i="45"/>
  <c r="S92" i="45" s="1"/>
  <c r="W73" i="45"/>
  <c r="K16" i="45"/>
  <c r="M16" i="45" s="1"/>
  <c r="U13" i="45" s="1"/>
  <c r="U12" i="45" s="1"/>
  <c r="U11" i="45" s="1"/>
  <c r="K63" i="45"/>
  <c r="M63" i="45" s="1"/>
  <c r="M62" i="45"/>
  <c r="M165" i="45"/>
  <c r="T162" i="45" s="1"/>
  <c r="M46" i="45"/>
  <c r="K47" i="45"/>
  <c r="M47" i="45" s="1"/>
  <c r="W14" i="45"/>
  <c r="K171" i="45"/>
  <c r="I172" i="45"/>
  <c r="K172" i="45" s="1"/>
  <c r="M190" i="45"/>
  <c r="S188" i="45" s="1"/>
  <c r="I146" i="45"/>
  <c r="K146" i="45" s="1"/>
  <c r="K145" i="45"/>
  <c r="M111" i="45"/>
  <c r="U107" i="45" s="1"/>
  <c r="M185" i="45"/>
  <c r="S183" i="45" s="1"/>
  <c r="W185" i="45"/>
  <c r="M89" i="45"/>
  <c r="K90" i="45"/>
  <c r="M159" i="45"/>
  <c r="S157" i="45" s="1"/>
  <c r="W110" i="45"/>
  <c r="W78" i="45"/>
  <c r="I140" i="45"/>
  <c r="K139" i="45"/>
  <c r="W114" i="45"/>
  <c r="M114" i="45"/>
  <c r="S112" i="45" s="1"/>
  <c r="S102" i="45" s="1"/>
  <c r="O175" i="45"/>
  <c r="S173" i="45" s="1"/>
  <c r="M136" i="45"/>
  <c r="U132" i="45" s="1"/>
  <c r="W164" i="45"/>
  <c r="K68" i="45"/>
  <c r="M67" i="45"/>
  <c r="O29" i="45"/>
  <c r="S27" i="45" s="1"/>
  <c r="S26" i="45" s="1"/>
  <c r="W29" i="45"/>
  <c r="K181" i="45"/>
  <c r="I182" i="45"/>
  <c r="K182" i="45" s="1"/>
  <c r="O86" i="45"/>
  <c r="U82" i="45" s="1"/>
  <c r="M156" i="45"/>
  <c r="U152" i="45" s="1"/>
  <c r="M40" i="45"/>
  <c r="K41" i="45"/>
  <c r="M41" i="45" s="1"/>
  <c r="O45" i="45"/>
  <c r="S43" i="45" s="1"/>
  <c r="M135" i="45"/>
  <c r="T132" i="45" s="1"/>
  <c r="W125" i="45"/>
  <c r="W99" i="45"/>
  <c r="I101" i="45"/>
  <c r="K101" i="45" s="1"/>
  <c r="K100" i="45"/>
  <c r="I131" i="45"/>
  <c r="K131" i="45" s="1"/>
  <c r="K130" i="45"/>
  <c r="M155" i="45"/>
  <c r="T152" i="45" s="1"/>
  <c r="W39" i="45"/>
  <c r="K31" i="45"/>
  <c r="M31" i="45" s="1"/>
  <c r="M30" i="45"/>
  <c r="O51" i="45"/>
  <c r="T48" i="45" s="1"/>
  <c r="W36" i="45"/>
  <c r="W102" i="42"/>
  <c r="F191" i="42"/>
  <c r="F192" i="42"/>
  <c r="F190" i="42"/>
  <c r="I185" i="42"/>
  <c r="I186" i="42" s="1"/>
  <c r="I187" i="42" s="1"/>
  <c r="K187" i="42" s="1"/>
  <c r="M187" i="42" s="1"/>
  <c r="O187" i="42" s="1"/>
  <c r="W187" i="42" s="1"/>
  <c r="F186" i="42"/>
  <c r="F187" i="42"/>
  <c r="F185" i="42"/>
  <c r="K179" i="42"/>
  <c r="I180" i="42"/>
  <c r="I181" i="42" s="1"/>
  <c r="I182" i="42" s="1"/>
  <c r="K182" i="42" s="1"/>
  <c r="M182" i="42" s="1"/>
  <c r="O182" i="42" s="1"/>
  <c r="V178" i="42" s="1"/>
  <c r="F181" i="42"/>
  <c r="F182" i="42"/>
  <c r="F180" i="42"/>
  <c r="K175" i="42"/>
  <c r="K176" i="42" s="1"/>
  <c r="F176" i="42"/>
  <c r="F177" i="42"/>
  <c r="F175" i="42"/>
  <c r="F171" i="42"/>
  <c r="F172" i="42"/>
  <c r="F170" i="42"/>
  <c r="I170" i="42"/>
  <c r="I171" i="42" s="1"/>
  <c r="I172" i="42" s="1"/>
  <c r="I113" i="42"/>
  <c r="I114" i="42" s="1"/>
  <c r="I115" i="42" s="1"/>
  <c r="I116" i="42" s="1"/>
  <c r="F115" i="42"/>
  <c r="F116" i="42"/>
  <c r="F114" i="42"/>
  <c r="H116" i="42"/>
  <c r="H115" i="42"/>
  <c r="I164" i="42"/>
  <c r="I165" i="42" s="1"/>
  <c r="I166" i="42" s="1"/>
  <c r="F165" i="42"/>
  <c r="F166" i="42"/>
  <c r="F164" i="42"/>
  <c r="F155" i="42"/>
  <c r="F156" i="42"/>
  <c r="F154" i="42"/>
  <c r="F160" i="42"/>
  <c r="F161" i="42"/>
  <c r="F159" i="42"/>
  <c r="I154" i="42"/>
  <c r="I155" i="42" s="1"/>
  <c r="I156" i="42" s="1"/>
  <c r="O189" i="42"/>
  <c r="O184" i="42"/>
  <c r="O179" i="42"/>
  <c r="O169" i="42"/>
  <c r="O163" i="42"/>
  <c r="O158" i="42"/>
  <c r="O153" i="42"/>
  <c r="O143" i="42"/>
  <c r="O138" i="42"/>
  <c r="O133" i="42"/>
  <c r="O128" i="42"/>
  <c r="F150" i="42"/>
  <c r="F151" i="42"/>
  <c r="F149" i="42"/>
  <c r="I149" i="42"/>
  <c r="K149" i="42" s="1"/>
  <c r="I144" i="42"/>
  <c r="I145" i="42" s="1"/>
  <c r="I146" i="42" s="1"/>
  <c r="F145" i="42"/>
  <c r="F146" i="42"/>
  <c r="F144" i="42"/>
  <c r="F140" i="42"/>
  <c r="F141" i="42"/>
  <c r="F139" i="42"/>
  <c r="I134" i="42"/>
  <c r="I135" i="42" s="1"/>
  <c r="I136" i="42" s="1"/>
  <c r="F135" i="42"/>
  <c r="F136" i="42"/>
  <c r="F134" i="42"/>
  <c r="K129" i="42"/>
  <c r="M129" i="42" s="1"/>
  <c r="O129" i="42" s="1"/>
  <c r="I130" i="42"/>
  <c r="I131" i="42" s="1"/>
  <c r="K131" i="42" s="1"/>
  <c r="F130" i="42"/>
  <c r="F131" i="42"/>
  <c r="F129" i="42"/>
  <c r="H192" i="42"/>
  <c r="H191" i="42"/>
  <c r="I189" i="42"/>
  <c r="I190" i="42" s="1"/>
  <c r="H161" i="42"/>
  <c r="H160" i="42"/>
  <c r="I158" i="42"/>
  <c r="I159" i="42" s="1"/>
  <c r="I160" i="42" s="1"/>
  <c r="I161" i="42" s="1"/>
  <c r="H156" i="42"/>
  <c r="H155" i="42"/>
  <c r="H151" i="42"/>
  <c r="H150" i="42"/>
  <c r="H146" i="42"/>
  <c r="H145" i="42"/>
  <c r="H141" i="42"/>
  <c r="H140" i="42"/>
  <c r="I138" i="42"/>
  <c r="I139" i="42" s="1"/>
  <c r="I140" i="42" s="1"/>
  <c r="I141" i="42" s="1"/>
  <c r="W159" i="45" l="1"/>
  <c r="W86" i="45"/>
  <c r="W61" i="45"/>
  <c r="V24" i="46"/>
  <c r="W150" i="46"/>
  <c r="W170" i="46"/>
  <c r="W169" i="46"/>
  <c r="W215" i="46"/>
  <c r="W149" i="46"/>
  <c r="W216" i="46"/>
  <c r="O35" i="45"/>
  <c r="T32" i="45" s="1"/>
  <c r="W170" i="45"/>
  <c r="K140" i="45"/>
  <c r="I141" i="45"/>
  <c r="K141" i="45" s="1"/>
  <c r="W45" i="45"/>
  <c r="M161" i="45"/>
  <c r="U157" i="45" s="1"/>
  <c r="O89" i="45"/>
  <c r="S87" i="45" s="1"/>
  <c r="S81" i="45" s="1"/>
  <c r="S75" i="45" s="1"/>
  <c r="O46" i="45"/>
  <c r="T43" i="45" s="1"/>
  <c r="W16" i="45"/>
  <c r="W155" i="45"/>
  <c r="O67" i="45"/>
  <c r="S65" i="45" s="1"/>
  <c r="S64" i="45" s="1"/>
  <c r="W175" i="45"/>
  <c r="W186" i="45"/>
  <c r="M186" i="45"/>
  <c r="T183" i="45" s="1"/>
  <c r="M115" i="45"/>
  <c r="T112" i="45" s="1"/>
  <c r="W129" i="45"/>
  <c r="M187" i="45"/>
  <c r="U183" i="45" s="1"/>
  <c r="M120" i="45"/>
  <c r="T117" i="45" s="1"/>
  <c r="O41" i="45"/>
  <c r="U37" i="45" s="1"/>
  <c r="W190" i="45"/>
  <c r="W51" i="45"/>
  <c r="M130" i="45"/>
  <c r="T127" i="45" s="1"/>
  <c r="W130" i="45"/>
  <c r="O40" i="45"/>
  <c r="T37" i="45" s="1"/>
  <c r="K69" i="45"/>
  <c r="M69" i="45" s="1"/>
  <c r="M68" i="45"/>
  <c r="W111" i="45"/>
  <c r="W172" i="45"/>
  <c r="M172" i="45"/>
  <c r="U168" i="45" s="1"/>
  <c r="W165" i="45"/>
  <c r="W94" i="45"/>
  <c r="M151" i="45"/>
  <c r="U147" i="45" s="1"/>
  <c r="M57" i="45"/>
  <c r="K58" i="45"/>
  <c r="M58" i="45" s="1"/>
  <c r="W116" i="45"/>
  <c r="M116" i="45"/>
  <c r="U112" i="45" s="1"/>
  <c r="W176" i="45"/>
  <c r="M192" i="45"/>
  <c r="U188" i="45" s="1"/>
  <c r="M171" i="45"/>
  <c r="T168" i="45" s="1"/>
  <c r="O62" i="45"/>
  <c r="T59" i="45" s="1"/>
  <c r="M150" i="45"/>
  <c r="T147" i="45" s="1"/>
  <c r="O56" i="45"/>
  <c r="S54" i="45" s="1"/>
  <c r="S53" i="45" s="1"/>
  <c r="S42" i="45" s="1"/>
  <c r="M191" i="45"/>
  <c r="T188" i="45" s="1"/>
  <c r="M101" i="45"/>
  <c r="U97" i="45" s="1"/>
  <c r="M146" i="45"/>
  <c r="U142" i="45" s="1"/>
  <c r="O47" i="45"/>
  <c r="U43" i="45" s="1"/>
  <c r="M121" i="45"/>
  <c r="U117" i="45" s="1"/>
  <c r="M160" i="45"/>
  <c r="T157" i="45" s="1"/>
  <c r="W160" i="45"/>
  <c r="O30" i="45"/>
  <c r="T27" i="45" s="1"/>
  <c r="W30" i="45"/>
  <c r="M131" i="45"/>
  <c r="U127" i="45" s="1"/>
  <c r="M182" i="45"/>
  <c r="U178" i="45" s="1"/>
  <c r="O31" i="45"/>
  <c r="U27" i="45" s="1"/>
  <c r="U26" i="45" s="1"/>
  <c r="W31" i="45"/>
  <c r="M100" i="45"/>
  <c r="T97" i="45" s="1"/>
  <c r="W100" i="45"/>
  <c r="W135" i="45"/>
  <c r="W156" i="45"/>
  <c r="M181" i="45"/>
  <c r="T178" i="45" s="1"/>
  <c r="W136" i="45"/>
  <c r="M139" i="45"/>
  <c r="S137" i="45" s="1"/>
  <c r="S122" i="45" s="1"/>
  <c r="M90" i="45"/>
  <c r="K91" i="45"/>
  <c r="M91" i="45" s="1"/>
  <c r="M145" i="45"/>
  <c r="T142" i="45" s="1"/>
  <c r="O63" i="45"/>
  <c r="U59" i="45" s="1"/>
  <c r="S167" i="45"/>
  <c r="W166" i="45"/>
  <c r="W177" i="45"/>
  <c r="K130" i="42"/>
  <c r="M130" i="42" s="1"/>
  <c r="O130" i="42" s="1"/>
  <c r="U127" i="42" s="1"/>
  <c r="K181" i="42"/>
  <c r="M181" i="42" s="1"/>
  <c r="O181" i="42" s="1"/>
  <c r="U178" i="42" s="1"/>
  <c r="K185" i="42"/>
  <c r="M185" i="42" s="1"/>
  <c r="O185" i="42" s="1"/>
  <c r="W185" i="42" s="1"/>
  <c r="K113" i="42"/>
  <c r="K180" i="42"/>
  <c r="M180" i="42" s="1"/>
  <c r="O180" i="42" s="1"/>
  <c r="T178" i="42" s="1"/>
  <c r="K186" i="42"/>
  <c r="M186" i="42" s="1"/>
  <c r="O186" i="42" s="1"/>
  <c r="W186" i="42" s="1"/>
  <c r="I191" i="42"/>
  <c r="K190" i="42"/>
  <c r="K189" i="42"/>
  <c r="K177" i="42"/>
  <c r="K116" i="42"/>
  <c r="K115" i="42"/>
  <c r="K114" i="42"/>
  <c r="M114" i="42" s="1"/>
  <c r="M131" i="42"/>
  <c r="O131" i="42" s="1"/>
  <c r="V127" i="42" s="1"/>
  <c r="W131" i="42"/>
  <c r="M149" i="42"/>
  <c r="O149" i="42" s="1"/>
  <c r="W149" i="42" s="1"/>
  <c r="W129" i="42"/>
  <c r="T127" i="42"/>
  <c r="I150" i="42"/>
  <c r="K159" i="42"/>
  <c r="K154" i="42"/>
  <c r="K153" i="42"/>
  <c r="K158" i="42"/>
  <c r="K144" i="42"/>
  <c r="K143" i="42"/>
  <c r="K139" i="42"/>
  <c r="K138" i="42"/>
  <c r="H131" i="42"/>
  <c r="H130" i="42"/>
  <c r="H136" i="42"/>
  <c r="H135" i="42"/>
  <c r="H193" i="44"/>
  <c r="H192" i="44"/>
  <c r="I191" i="44"/>
  <c r="I192" i="44" s="1"/>
  <c r="I190" i="44"/>
  <c r="K190" i="44" s="1"/>
  <c r="H188" i="44"/>
  <c r="H187" i="44"/>
  <c r="I185" i="44"/>
  <c r="I186" i="44" s="1"/>
  <c r="H183" i="44"/>
  <c r="H182" i="44"/>
  <c r="K180" i="44"/>
  <c r="I180" i="44"/>
  <c r="I181" i="44" s="1"/>
  <c r="J178" i="44"/>
  <c r="H178" i="44"/>
  <c r="J177" i="44"/>
  <c r="H177" i="44"/>
  <c r="K175" i="44"/>
  <c r="K176" i="44" s="1"/>
  <c r="H173" i="44"/>
  <c r="H172" i="44"/>
  <c r="I170" i="44"/>
  <c r="K170" i="44" s="1"/>
  <c r="W168" i="44"/>
  <c r="H167" i="44"/>
  <c r="H166" i="44"/>
  <c r="I165" i="44"/>
  <c r="K165" i="44" s="1"/>
  <c r="K164" i="44"/>
  <c r="I164" i="44"/>
  <c r="H162" i="44"/>
  <c r="H161" i="44"/>
  <c r="I160" i="44"/>
  <c r="I161" i="44" s="1"/>
  <c r="I162" i="44" s="1"/>
  <c r="K162" i="44" s="1"/>
  <c r="M162" i="44" s="1"/>
  <c r="I159" i="44"/>
  <c r="K159" i="44" s="1"/>
  <c r="H157" i="44"/>
  <c r="H156" i="44"/>
  <c r="I154" i="44"/>
  <c r="I155" i="44" s="1"/>
  <c r="I156" i="44" s="1"/>
  <c r="H152" i="44"/>
  <c r="H151" i="44"/>
  <c r="K149" i="44"/>
  <c r="I149" i="44"/>
  <c r="I150" i="44" s="1"/>
  <c r="H147" i="44"/>
  <c r="H146" i="44"/>
  <c r="I144" i="44"/>
  <c r="H142" i="44"/>
  <c r="H141" i="44"/>
  <c r="I139" i="44"/>
  <c r="I140" i="44" s="1"/>
  <c r="K140" i="44" s="1"/>
  <c r="H137" i="44"/>
  <c r="H136" i="44"/>
  <c r="I134" i="44"/>
  <c r="I135" i="44" s="1"/>
  <c r="K135" i="44" s="1"/>
  <c r="H132" i="44"/>
  <c r="H131" i="44"/>
  <c r="I129" i="44"/>
  <c r="K129" i="44" s="1"/>
  <c r="K127" i="44"/>
  <c r="M127" i="44" s="1"/>
  <c r="U124" i="44" s="1"/>
  <c r="K126" i="44"/>
  <c r="K125" i="44"/>
  <c r="M125" i="44" s="1"/>
  <c r="W125" i="44" s="1"/>
  <c r="W123" i="44"/>
  <c r="H122" i="44"/>
  <c r="H121" i="44"/>
  <c r="I119" i="44"/>
  <c r="I120" i="44" s="1"/>
  <c r="H117" i="44"/>
  <c r="H116" i="44"/>
  <c r="I115" i="44"/>
  <c r="I116" i="44" s="1"/>
  <c r="I117" i="44" s="1"/>
  <c r="K117" i="44" s="1"/>
  <c r="I114" i="44"/>
  <c r="K114" i="44" s="1"/>
  <c r="H112" i="44"/>
  <c r="H111" i="44"/>
  <c r="I109" i="44"/>
  <c r="I110" i="44" s="1"/>
  <c r="I111" i="44" s="1"/>
  <c r="O107" i="44"/>
  <c r="O106" i="44"/>
  <c r="Q106" i="44" s="1"/>
  <c r="T104" i="44" s="1"/>
  <c r="O105" i="44"/>
  <c r="W103" i="44"/>
  <c r="H102" i="44"/>
  <c r="I101" i="44"/>
  <c r="I102" i="44" s="1"/>
  <c r="K102" i="44" s="1"/>
  <c r="H101" i="44"/>
  <c r="I100" i="44"/>
  <c r="K100" i="44" s="1"/>
  <c r="K99" i="44"/>
  <c r="I99" i="44"/>
  <c r="H97" i="44"/>
  <c r="H96" i="44"/>
  <c r="I94" i="44"/>
  <c r="K94" i="44" s="1"/>
  <c r="J92" i="44"/>
  <c r="H92" i="44"/>
  <c r="J91" i="44"/>
  <c r="H91" i="44"/>
  <c r="K89" i="44"/>
  <c r="K90" i="44" s="1"/>
  <c r="J87" i="44"/>
  <c r="H87" i="44"/>
  <c r="J86" i="44"/>
  <c r="H86" i="44"/>
  <c r="K84" i="44"/>
  <c r="M84" i="44" s="1"/>
  <c r="W82" i="44"/>
  <c r="M81" i="44"/>
  <c r="M80" i="44"/>
  <c r="O79" i="44"/>
  <c r="S78" i="44" s="1"/>
  <c r="S77" i="44" s="1"/>
  <c r="M79" i="44"/>
  <c r="W77" i="44"/>
  <c r="W74" i="44"/>
  <c r="O74" i="44"/>
  <c r="U70" i="44" s="1"/>
  <c r="M74" i="44"/>
  <c r="M73" i="44"/>
  <c r="O72" i="44"/>
  <c r="S70" i="44" s="1"/>
  <c r="M72" i="44"/>
  <c r="J69" i="44"/>
  <c r="H69" i="44"/>
  <c r="J68" i="44"/>
  <c r="H68" i="44"/>
  <c r="K66" i="44"/>
  <c r="W64" i="44"/>
  <c r="J63" i="44"/>
  <c r="H63" i="44"/>
  <c r="J62" i="44"/>
  <c r="H62" i="44"/>
  <c r="K60" i="44"/>
  <c r="K61" i="44" s="1"/>
  <c r="K62" i="44" s="1"/>
  <c r="K63" i="44" s="1"/>
  <c r="M63" i="44" s="1"/>
  <c r="J58" i="44"/>
  <c r="H58" i="44"/>
  <c r="J57" i="44"/>
  <c r="H57" i="44"/>
  <c r="K55" i="44"/>
  <c r="M55" i="44" s="1"/>
  <c r="W53" i="44"/>
  <c r="J52" i="44"/>
  <c r="H52" i="44"/>
  <c r="J51" i="44"/>
  <c r="H51" i="44"/>
  <c r="K49" i="44"/>
  <c r="K50" i="44" s="1"/>
  <c r="K51" i="44" s="1"/>
  <c r="K52" i="44" s="1"/>
  <c r="M52" i="44" s="1"/>
  <c r="J47" i="44"/>
  <c r="H47" i="44"/>
  <c r="J46" i="44"/>
  <c r="H46" i="44"/>
  <c r="K44" i="44"/>
  <c r="M44" i="44" s="1"/>
  <c r="W42" i="44"/>
  <c r="J41" i="44"/>
  <c r="H41" i="44"/>
  <c r="J40" i="44"/>
  <c r="H40" i="44"/>
  <c r="K38" i="44"/>
  <c r="K39" i="44" s="1"/>
  <c r="K40" i="44" s="1"/>
  <c r="J36" i="44"/>
  <c r="H36" i="44"/>
  <c r="J35" i="44"/>
  <c r="H35" i="44"/>
  <c r="K34" i="44"/>
  <c r="M34" i="44" s="1"/>
  <c r="O34" i="44" s="1"/>
  <c r="S32" i="44" s="1"/>
  <c r="M33" i="44"/>
  <c r="K33" i="44"/>
  <c r="J31" i="44"/>
  <c r="H31" i="44"/>
  <c r="J30" i="44"/>
  <c r="H30" i="44"/>
  <c r="K28" i="44"/>
  <c r="M28" i="44" s="1"/>
  <c r="W26" i="44"/>
  <c r="W25" i="44"/>
  <c r="W24" i="44"/>
  <c r="O22" i="44"/>
  <c r="I23" i="44" s="1"/>
  <c r="K23" i="44" s="1"/>
  <c r="M23" i="44" s="1"/>
  <c r="U17" i="44" s="1"/>
  <c r="O20" i="44"/>
  <c r="I21" i="44" s="1"/>
  <c r="K21" i="44" s="1"/>
  <c r="M21" i="44" s="1"/>
  <c r="T17" i="44" s="1"/>
  <c r="I19" i="44"/>
  <c r="K19" i="44" s="1"/>
  <c r="O18" i="44"/>
  <c r="I14" i="44"/>
  <c r="I15" i="44" s="1"/>
  <c r="W12" i="44"/>
  <c r="W11" i="44"/>
  <c r="K120" i="44" l="1"/>
  <c r="I121" i="44"/>
  <c r="I122" i="44" s="1"/>
  <c r="K122" i="44" s="1"/>
  <c r="M176" i="44"/>
  <c r="K177" i="44"/>
  <c r="M177" i="44" s="1"/>
  <c r="K191" i="44"/>
  <c r="K119" i="44"/>
  <c r="I141" i="44"/>
  <c r="W63" i="45"/>
  <c r="I95" i="44"/>
  <c r="I96" i="44" s="1"/>
  <c r="I97" i="44" s="1"/>
  <c r="K97" i="44" s="1"/>
  <c r="M97" i="44" s="1"/>
  <c r="U93" i="44" s="1"/>
  <c r="K29" i="44"/>
  <c r="K45" i="44"/>
  <c r="M45" i="44" s="1"/>
  <c r="O45" i="44" s="1"/>
  <c r="S43" i="44" s="1"/>
  <c r="I171" i="44"/>
  <c r="S25" i="45"/>
  <c r="W151" i="45"/>
  <c r="K85" i="44"/>
  <c r="K35" i="44"/>
  <c r="W150" i="45"/>
  <c r="W35" i="45"/>
  <c r="I130" i="44"/>
  <c r="M38" i="44"/>
  <c r="W80" i="44"/>
  <c r="K110" i="44"/>
  <c r="M110" i="44" s="1"/>
  <c r="S108" i="44" s="1"/>
  <c r="K160" i="44"/>
  <c r="M160" i="44" s="1"/>
  <c r="S158" i="44" s="1"/>
  <c r="O80" i="44"/>
  <c r="T78" i="44" s="1"/>
  <c r="T77" i="44" s="1"/>
  <c r="T26" i="45"/>
  <c r="W161" i="45"/>
  <c r="M49" i="44"/>
  <c r="O81" i="44"/>
  <c r="U78" i="44" s="1"/>
  <c r="U77" i="44" s="1"/>
  <c r="K101" i="44"/>
  <c r="M101" i="44" s="1"/>
  <c r="T98" i="44" s="1"/>
  <c r="S124" i="44"/>
  <c r="K134" i="44"/>
  <c r="M175" i="44"/>
  <c r="W121" i="45"/>
  <c r="U102" i="45"/>
  <c r="W139" i="45"/>
  <c r="W40" i="45"/>
  <c r="W41" i="45"/>
  <c r="W191" i="45"/>
  <c r="W171" i="45"/>
  <c r="W89" i="45"/>
  <c r="W145" i="45"/>
  <c r="S24" i="45"/>
  <c r="O91" i="45"/>
  <c r="U87" i="45" s="1"/>
  <c r="U81" i="45" s="1"/>
  <c r="U75" i="45" s="1"/>
  <c r="W91" i="45"/>
  <c r="W181" i="45"/>
  <c r="W47" i="45"/>
  <c r="W62" i="45"/>
  <c r="O69" i="45"/>
  <c r="U65" i="45" s="1"/>
  <c r="U64" i="45" s="1"/>
  <c r="W187" i="45"/>
  <c r="W46" i="45"/>
  <c r="W182" i="45"/>
  <c r="W146" i="45"/>
  <c r="W56" i="45"/>
  <c r="T167" i="45"/>
  <c r="O58" i="45"/>
  <c r="U54" i="45" s="1"/>
  <c r="U53" i="45" s="1"/>
  <c r="U42" i="45" s="1"/>
  <c r="U167" i="45"/>
  <c r="W115" i="45"/>
  <c r="W67" i="45"/>
  <c r="W57" i="45"/>
  <c r="O57" i="45"/>
  <c r="T54" i="45" s="1"/>
  <c r="T53" i="45" s="1"/>
  <c r="T42" i="45" s="1"/>
  <c r="T102" i="45"/>
  <c r="M141" i="45"/>
  <c r="U137" i="45" s="1"/>
  <c r="U122" i="45" s="1"/>
  <c r="O90" i="45"/>
  <c r="T87" i="45" s="1"/>
  <c r="T81" i="45" s="1"/>
  <c r="T75" i="45" s="1"/>
  <c r="W90" i="45"/>
  <c r="W131" i="45"/>
  <c r="W101" i="45"/>
  <c r="W192" i="45"/>
  <c r="W120" i="45"/>
  <c r="W140" i="45"/>
  <c r="M140" i="45"/>
  <c r="T137" i="45" s="1"/>
  <c r="T122" i="45" s="1"/>
  <c r="O68" i="45"/>
  <c r="T65" i="45" s="1"/>
  <c r="T64" i="45" s="1"/>
  <c r="W130" i="42"/>
  <c r="I192" i="42"/>
  <c r="K192" i="42" s="1"/>
  <c r="K191" i="42"/>
  <c r="M115" i="42"/>
  <c r="O115" i="42" s="1"/>
  <c r="U112" i="42" s="1"/>
  <c r="M116" i="42"/>
  <c r="O116" i="42" s="1"/>
  <c r="V112" i="42" s="1"/>
  <c r="O114" i="42"/>
  <c r="T112" i="42" s="1"/>
  <c r="M190" i="42"/>
  <c r="O190" i="42" s="1"/>
  <c r="T188" i="42" s="1"/>
  <c r="K150" i="42"/>
  <c r="I151" i="42"/>
  <c r="K151" i="42" s="1"/>
  <c r="M139" i="42"/>
  <c r="O139" i="42" s="1"/>
  <c r="T137" i="42" s="1"/>
  <c r="M159" i="42"/>
  <c r="O159" i="42" s="1"/>
  <c r="T157" i="42" s="1"/>
  <c r="M154" i="42"/>
  <c r="O154" i="42" s="1"/>
  <c r="T152" i="42" s="1"/>
  <c r="T147" i="42"/>
  <c r="M144" i="42"/>
  <c r="O144" i="42" s="1"/>
  <c r="T142" i="42" s="1"/>
  <c r="K160" i="42"/>
  <c r="K161" i="42"/>
  <c r="K155" i="42"/>
  <c r="K156" i="42"/>
  <c r="K145" i="42"/>
  <c r="K146" i="42"/>
  <c r="K140" i="42"/>
  <c r="M140" i="42" s="1"/>
  <c r="O140" i="42" s="1"/>
  <c r="K141" i="42"/>
  <c r="K128" i="42"/>
  <c r="K134" i="42"/>
  <c r="K133" i="42"/>
  <c r="M100" i="44"/>
  <c r="S98" i="44" s="1"/>
  <c r="M40" i="44"/>
  <c r="K41" i="44"/>
  <c r="M41" i="44" s="1"/>
  <c r="M35" i="44"/>
  <c r="K36" i="44"/>
  <c r="M36" i="44" s="1"/>
  <c r="M19" i="44"/>
  <c r="S17" i="44" s="1"/>
  <c r="W20" i="44"/>
  <c r="U158" i="44"/>
  <c r="W162" i="44"/>
  <c r="I16" i="44"/>
  <c r="M122" i="44"/>
  <c r="U118" i="44" s="1"/>
  <c r="K15" i="44"/>
  <c r="M15" i="44" s="1"/>
  <c r="T13" i="44" s="1"/>
  <c r="T12" i="44" s="1"/>
  <c r="T11" i="44" s="1"/>
  <c r="W52" i="44"/>
  <c r="O52" i="44"/>
  <c r="U48" i="44" s="1"/>
  <c r="O63" i="44"/>
  <c r="U59" i="44" s="1"/>
  <c r="W102" i="44"/>
  <c r="M102" i="44"/>
  <c r="U98" i="44" s="1"/>
  <c r="M39" i="44"/>
  <c r="M60" i="44"/>
  <c r="W72" i="44"/>
  <c r="W79" i="44"/>
  <c r="M90" i="44"/>
  <c r="K91" i="44"/>
  <c r="M117" i="44"/>
  <c r="U113" i="44" s="1"/>
  <c r="W34" i="44"/>
  <c r="M89" i="44"/>
  <c r="K115" i="44"/>
  <c r="K121" i="44"/>
  <c r="M140" i="44"/>
  <c r="S138" i="44" s="1"/>
  <c r="K156" i="44"/>
  <c r="I157" i="44"/>
  <c r="K157" i="44" s="1"/>
  <c r="M191" i="44"/>
  <c r="S189" i="44" s="1"/>
  <c r="M62" i="44"/>
  <c r="K14" i="44"/>
  <c r="M14" i="44" s="1"/>
  <c r="S13" i="44" s="1"/>
  <c r="M135" i="44"/>
  <c r="S133" i="44" s="1"/>
  <c r="O177" i="44"/>
  <c r="T174" i="44" s="1"/>
  <c r="K192" i="44"/>
  <c r="I193" i="44"/>
  <c r="K193" i="44" s="1"/>
  <c r="W22" i="44"/>
  <c r="M51" i="44"/>
  <c r="M61" i="44"/>
  <c r="W73" i="44"/>
  <c r="O73" i="44"/>
  <c r="T70" i="44" s="1"/>
  <c r="M50" i="44"/>
  <c r="K56" i="44"/>
  <c r="K111" i="44"/>
  <c r="I112" i="44"/>
  <c r="K112" i="44" s="1"/>
  <c r="I136" i="44"/>
  <c r="K139" i="44"/>
  <c r="K155" i="44"/>
  <c r="K161" i="44"/>
  <c r="W106" i="44"/>
  <c r="W110" i="44"/>
  <c r="K116" i="44"/>
  <c r="M126" i="44"/>
  <c r="T124" i="44" s="1"/>
  <c r="I145" i="44"/>
  <c r="K144" i="44"/>
  <c r="M165" i="44"/>
  <c r="S163" i="44" s="1"/>
  <c r="O176" i="44"/>
  <c r="S174" i="44" s="1"/>
  <c r="K178" i="44"/>
  <c r="M178" i="44" s="1"/>
  <c r="K67" i="44"/>
  <c r="M66" i="44"/>
  <c r="M120" i="44"/>
  <c r="S118" i="44" s="1"/>
  <c r="K150" i="44"/>
  <c r="I151" i="44"/>
  <c r="W101" i="44"/>
  <c r="W107" i="44"/>
  <c r="W127" i="44"/>
  <c r="I166" i="44"/>
  <c r="K181" i="44"/>
  <c r="I182" i="44"/>
  <c r="K186" i="44"/>
  <c r="I187" i="44"/>
  <c r="Q105" i="44"/>
  <c r="S104" i="44" s="1"/>
  <c r="Q107" i="44"/>
  <c r="U104" i="44" s="1"/>
  <c r="K109" i="44"/>
  <c r="K154" i="44"/>
  <c r="K185" i="44"/>
  <c r="F125" i="42"/>
  <c r="F126" i="42"/>
  <c r="F124" i="42"/>
  <c r="F120" i="42"/>
  <c r="F121" i="42"/>
  <c r="F119" i="42"/>
  <c r="I118" i="42"/>
  <c r="K118" i="42" s="1"/>
  <c r="M118" i="42" s="1"/>
  <c r="O118" i="42" s="1"/>
  <c r="I109" i="42"/>
  <c r="I110" i="42" s="1"/>
  <c r="I111" i="42" s="1"/>
  <c r="K108" i="42"/>
  <c r="M108" i="42" s="1"/>
  <c r="O108" i="42" s="1"/>
  <c r="F110" i="42"/>
  <c r="F111" i="42"/>
  <c r="F109" i="42"/>
  <c r="F105" i="42"/>
  <c r="F106" i="42"/>
  <c r="F104" i="42"/>
  <c r="I100" i="42"/>
  <c r="I101" i="42" s="1"/>
  <c r="K101" i="42" s="1"/>
  <c r="M101" i="42" s="1"/>
  <c r="O101" i="42" s="1"/>
  <c r="F100" i="42"/>
  <c r="F101" i="42"/>
  <c r="F99" i="42"/>
  <c r="I94" i="42"/>
  <c r="K94" i="42" s="1"/>
  <c r="K93" i="42"/>
  <c r="M93" i="42" s="1"/>
  <c r="O93" i="42" s="1"/>
  <c r="K29" i="42"/>
  <c r="M28" i="42"/>
  <c r="K39" i="42"/>
  <c r="J41" i="42"/>
  <c r="J40" i="42"/>
  <c r="J39" i="42"/>
  <c r="K34" i="42"/>
  <c r="J36" i="42"/>
  <c r="J35" i="42"/>
  <c r="J34" i="42"/>
  <c r="J31" i="42"/>
  <c r="J30" i="42"/>
  <c r="J29" i="42"/>
  <c r="K30" i="44" l="1"/>
  <c r="M29" i="44"/>
  <c r="O29" i="44" s="1"/>
  <c r="S27" i="44" s="1"/>
  <c r="W122" i="44"/>
  <c r="U25" i="45"/>
  <c r="U24" i="45" s="1"/>
  <c r="I131" i="44"/>
  <c r="K130" i="44"/>
  <c r="M130" i="44" s="1"/>
  <c r="S128" i="44" s="1"/>
  <c r="K141" i="44"/>
  <c r="I142" i="44"/>
  <c r="K142" i="44" s="1"/>
  <c r="W15" i="44"/>
  <c r="W114" i="42"/>
  <c r="W81" i="44"/>
  <c r="K95" i="44"/>
  <c r="K86" i="44"/>
  <c r="M85" i="44"/>
  <c r="W14" i="44"/>
  <c r="S12" i="44"/>
  <c r="S11" i="44" s="1"/>
  <c r="K96" i="44"/>
  <c r="K46" i="44"/>
  <c r="W45" i="44"/>
  <c r="I172" i="44"/>
  <c r="K171" i="44"/>
  <c r="M171" i="44" s="1"/>
  <c r="S169" i="44" s="1"/>
  <c r="W141" i="45"/>
  <c r="T25" i="45"/>
  <c r="T24" i="45" s="1"/>
  <c r="W58" i="45"/>
  <c r="W69" i="45"/>
  <c r="W68" i="45"/>
  <c r="W139" i="42"/>
  <c r="W115" i="42"/>
  <c r="W154" i="42"/>
  <c r="M191" i="42"/>
  <c r="M192" i="42"/>
  <c r="O192" i="42" s="1"/>
  <c r="V188" i="42" s="1"/>
  <c r="W116" i="42"/>
  <c r="W190" i="42"/>
  <c r="W159" i="42"/>
  <c r="W140" i="42"/>
  <c r="U137" i="42"/>
  <c r="I95" i="42"/>
  <c r="K95" i="42" s="1"/>
  <c r="M95" i="42" s="1"/>
  <c r="O95" i="42" s="1"/>
  <c r="M134" i="42"/>
  <c r="O134" i="42" s="1"/>
  <c r="T132" i="42" s="1"/>
  <c r="M151" i="42"/>
  <c r="O151" i="42" s="1"/>
  <c r="V147" i="42" s="1"/>
  <c r="O191" i="42"/>
  <c r="U188" i="42" s="1"/>
  <c r="M141" i="42"/>
  <c r="O141" i="42" s="1"/>
  <c r="V137" i="42" s="1"/>
  <c r="M150" i="42"/>
  <c r="O150" i="42" s="1"/>
  <c r="W150" i="42" s="1"/>
  <c r="M161" i="42"/>
  <c r="O161" i="42" s="1"/>
  <c r="V157" i="42" s="1"/>
  <c r="M160" i="42"/>
  <c r="O160" i="42" s="1"/>
  <c r="U157" i="42" s="1"/>
  <c r="M155" i="42"/>
  <c r="O155" i="42" s="1"/>
  <c r="U152" i="42" s="1"/>
  <c r="M156" i="42"/>
  <c r="O156" i="42" s="1"/>
  <c r="V152" i="42" s="1"/>
  <c r="W144" i="42"/>
  <c r="M145" i="42"/>
  <c r="O145" i="42" s="1"/>
  <c r="U142" i="42" s="1"/>
  <c r="M146" i="42"/>
  <c r="O146" i="42" s="1"/>
  <c r="V142" i="42" s="1"/>
  <c r="K100" i="42"/>
  <c r="M100" i="42" s="1"/>
  <c r="O100" i="42" s="1"/>
  <c r="W100" i="42" s="1"/>
  <c r="I119" i="42"/>
  <c r="I120" i="42" s="1"/>
  <c r="I121" i="42" s="1"/>
  <c r="M94" i="42"/>
  <c r="O94" i="42" s="1"/>
  <c r="K135" i="42"/>
  <c r="M135" i="42" s="1"/>
  <c r="O135" i="42" s="1"/>
  <c r="K136" i="42"/>
  <c r="M112" i="44"/>
  <c r="U108" i="44" s="1"/>
  <c r="M193" i="44"/>
  <c r="U189" i="44" s="1"/>
  <c r="O36" i="44"/>
  <c r="U32" i="44" s="1"/>
  <c r="O41" i="44"/>
  <c r="U37" i="44" s="1"/>
  <c r="K187" i="44"/>
  <c r="I188" i="44"/>
  <c r="K188" i="44" s="1"/>
  <c r="W165" i="44"/>
  <c r="W126" i="44"/>
  <c r="M111" i="44"/>
  <c r="T108" i="44" s="1"/>
  <c r="M192" i="44"/>
  <c r="T189" i="44" s="1"/>
  <c r="W135" i="44"/>
  <c r="W191" i="44"/>
  <c r="W140" i="44"/>
  <c r="W97" i="44"/>
  <c r="O35" i="44"/>
  <c r="T32" i="44" s="1"/>
  <c r="O40" i="44"/>
  <c r="T37" i="44" s="1"/>
  <c r="M186" i="44"/>
  <c r="S184" i="44" s="1"/>
  <c r="M67" i="44"/>
  <c r="K68" i="44"/>
  <c r="M116" i="44"/>
  <c r="T113" i="44" s="1"/>
  <c r="M161" i="44"/>
  <c r="T158" i="44" s="1"/>
  <c r="W105" i="44"/>
  <c r="W121" i="44"/>
  <c r="M121" i="44"/>
  <c r="T118" i="44" s="1"/>
  <c r="M91" i="44"/>
  <c r="K92" i="44"/>
  <c r="M92" i="44" s="1"/>
  <c r="O39" i="44"/>
  <c r="S37" i="44" s="1"/>
  <c r="S26" i="44"/>
  <c r="K182" i="44"/>
  <c r="I183" i="44"/>
  <c r="K183" i="44" s="1"/>
  <c r="O178" i="44"/>
  <c r="U174" i="44" s="1"/>
  <c r="K145" i="44"/>
  <c r="I146" i="44"/>
  <c r="M155" i="44"/>
  <c r="S153" i="44" s="1"/>
  <c r="O61" i="44"/>
  <c r="S59" i="44" s="1"/>
  <c r="W177" i="44"/>
  <c r="M115" i="44"/>
  <c r="S113" i="44" s="1"/>
  <c r="S103" i="44" s="1"/>
  <c r="O90" i="44"/>
  <c r="S88" i="44" s="1"/>
  <c r="W63" i="44"/>
  <c r="W18" i="44"/>
  <c r="W29" i="44"/>
  <c r="W100" i="44"/>
  <c r="M96" i="44"/>
  <c r="T93" i="44" s="1"/>
  <c r="M181" i="44"/>
  <c r="S179" i="44" s="1"/>
  <c r="S168" i="44" s="1"/>
  <c r="M56" i="44"/>
  <c r="K57" i="44"/>
  <c r="M157" i="44"/>
  <c r="U153" i="44" s="1"/>
  <c r="M150" i="44"/>
  <c r="S148" i="44" s="1"/>
  <c r="O51" i="44"/>
  <c r="T48" i="44" s="1"/>
  <c r="O62" i="44"/>
  <c r="T59" i="44" s="1"/>
  <c r="U103" i="44"/>
  <c r="I167" i="44"/>
  <c r="K167" i="44" s="1"/>
  <c r="K166" i="44"/>
  <c r="K151" i="44"/>
  <c r="I152" i="44"/>
  <c r="K152" i="44" s="1"/>
  <c r="W120" i="44"/>
  <c r="W176" i="44"/>
  <c r="W130" i="44"/>
  <c r="M46" i="44"/>
  <c r="K47" i="44"/>
  <c r="M47" i="44" s="1"/>
  <c r="I137" i="44"/>
  <c r="K137" i="44" s="1"/>
  <c r="K136" i="44"/>
  <c r="O50" i="44"/>
  <c r="S48" i="44" s="1"/>
  <c r="W160" i="44"/>
  <c r="M156" i="44"/>
  <c r="T153" i="44" s="1"/>
  <c r="K16" i="44"/>
  <c r="M16" i="44" s="1"/>
  <c r="U13" i="44" s="1"/>
  <c r="U12" i="44" s="1"/>
  <c r="U11" i="44" s="1"/>
  <c r="W117" i="44"/>
  <c r="W101" i="42"/>
  <c r="V97" i="42"/>
  <c r="J86" i="42"/>
  <c r="J85" i="42"/>
  <c r="J84" i="42"/>
  <c r="J91" i="42"/>
  <c r="J90" i="42"/>
  <c r="J89" i="42"/>
  <c r="J96" i="42"/>
  <c r="J95" i="42"/>
  <c r="J94" i="42"/>
  <c r="F95" i="42"/>
  <c r="F96" i="42"/>
  <c r="F94" i="42"/>
  <c r="F90" i="42"/>
  <c r="F91" i="42"/>
  <c r="F89" i="42"/>
  <c r="K89" i="42"/>
  <c r="K90" i="42" s="1"/>
  <c r="K91" i="42" s="1"/>
  <c r="M91" i="42" s="1"/>
  <c r="O91" i="42" s="1"/>
  <c r="M88" i="42"/>
  <c r="O88" i="42" s="1"/>
  <c r="M83" i="42"/>
  <c r="O83" i="42" s="1"/>
  <c r="K84" i="42"/>
  <c r="K85" i="42" s="1"/>
  <c r="F85" i="42"/>
  <c r="F86" i="42"/>
  <c r="F84" i="42"/>
  <c r="M79" i="42"/>
  <c r="O79" i="42" s="1"/>
  <c r="M80" i="42"/>
  <c r="O80" i="42" s="1"/>
  <c r="M78" i="42"/>
  <c r="O78" i="42" s="1"/>
  <c r="F79" i="42"/>
  <c r="F80" i="42"/>
  <c r="F78" i="42"/>
  <c r="M72" i="42"/>
  <c r="O72" i="42" s="1"/>
  <c r="K73" i="42"/>
  <c r="M73" i="42" s="1"/>
  <c r="O73" i="42" s="1"/>
  <c r="F73" i="42"/>
  <c r="F74" i="42"/>
  <c r="F72" i="42"/>
  <c r="M71" i="42"/>
  <c r="O71" i="42" s="1"/>
  <c r="K67" i="42"/>
  <c r="M67" i="42" s="1"/>
  <c r="O67" i="42" s="1"/>
  <c r="F68" i="42"/>
  <c r="F69" i="42"/>
  <c r="F67" i="42"/>
  <c r="M66" i="42"/>
  <c r="O66" i="42" s="1"/>
  <c r="M49" i="42"/>
  <c r="O49" i="42" s="1"/>
  <c r="K50" i="42"/>
  <c r="F62" i="42"/>
  <c r="F63" i="42"/>
  <c r="F61" i="42"/>
  <c r="M60" i="42"/>
  <c r="O60" i="42" s="1"/>
  <c r="K61" i="42"/>
  <c r="K62" i="42" s="1"/>
  <c r="M55" i="42"/>
  <c r="K56" i="42"/>
  <c r="M56" i="42" s="1"/>
  <c r="O56" i="42" s="1"/>
  <c r="W62" i="44" l="1"/>
  <c r="W178" i="44"/>
  <c r="K172" i="44"/>
  <c r="I173" i="44"/>
  <c r="K173" i="44" s="1"/>
  <c r="M173" i="44" s="1"/>
  <c r="U169" i="44" s="1"/>
  <c r="M142" i="44"/>
  <c r="U138" i="44" s="1"/>
  <c r="W171" i="44"/>
  <c r="M141" i="44"/>
  <c r="T138" i="44" s="1"/>
  <c r="W51" i="44"/>
  <c r="S82" i="44"/>
  <c r="I132" i="44"/>
  <c r="K132" i="44" s="1"/>
  <c r="K131" i="44"/>
  <c r="M95" i="44"/>
  <c r="S93" i="44" s="1"/>
  <c r="W40" i="44"/>
  <c r="O85" i="44"/>
  <c r="S83" i="44" s="1"/>
  <c r="W85" i="44"/>
  <c r="M86" i="44"/>
  <c r="K87" i="44"/>
  <c r="M87" i="44" s="1"/>
  <c r="O87" i="44" s="1"/>
  <c r="U83" i="44" s="1"/>
  <c r="K31" i="44"/>
  <c r="M31" i="44" s="1"/>
  <c r="M30" i="44"/>
  <c r="O30" i="44" s="1"/>
  <c r="T27" i="44" s="1"/>
  <c r="T26" i="44" s="1"/>
  <c r="I96" i="42"/>
  <c r="W155" i="42"/>
  <c r="W192" i="42"/>
  <c r="W191" i="42"/>
  <c r="W134" i="42"/>
  <c r="S132" i="42"/>
  <c r="W146" i="42"/>
  <c r="W151" i="42"/>
  <c r="W135" i="42"/>
  <c r="U132" i="42"/>
  <c r="U147" i="42"/>
  <c r="W156" i="42"/>
  <c r="W145" i="42"/>
  <c r="M136" i="42"/>
  <c r="O136" i="42" s="1"/>
  <c r="V132" i="42" s="1"/>
  <c r="W161" i="42"/>
  <c r="W141" i="42"/>
  <c r="W160" i="42"/>
  <c r="S127" i="42"/>
  <c r="M90" i="42"/>
  <c r="O90" i="42" s="1"/>
  <c r="K68" i="42"/>
  <c r="K69" i="42" s="1"/>
  <c r="K86" i="42"/>
  <c r="M86" i="42" s="1"/>
  <c r="O86" i="42" s="1"/>
  <c r="M85" i="42"/>
  <c r="O85" i="42" s="1"/>
  <c r="M62" i="42"/>
  <c r="O62" i="42" s="1"/>
  <c r="K63" i="42"/>
  <c r="M63" i="42" s="1"/>
  <c r="O63" i="42" s="1"/>
  <c r="K57" i="42"/>
  <c r="K58" i="42" s="1"/>
  <c r="K74" i="42"/>
  <c r="M74" i="42" s="1"/>
  <c r="O74" i="42" s="1"/>
  <c r="M84" i="42"/>
  <c r="O84" i="42" s="1"/>
  <c r="M89" i="42"/>
  <c r="O89" i="42" s="1"/>
  <c r="M61" i="42"/>
  <c r="O61" i="42" s="1"/>
  <c r="W67" i="42"/>
  <c r="W94" i="42"/>
  <c r="M136" i="44"/>
  <c r="T133" i="44" s="1"/>
  <c r="K146" i="44"/>
  <c r="I147" i="44"/>
  <c r="K147" i="44" s="1"/>
  <c r="W156" i="44"/>
  <c r="M137" i="44"/>
  <c r="U133" i="44" s="1"/>
  <c r="W152" i="44"/>
  <c r="M152" i="44"/>
  <c r="U148" i="44" s="1"/>
  <c r="W157" i="44"/>
  <c r="W96" i="44"/>
  <c r="W90" i="44"/>
  <c r="M145" i="44"/>
  <c r="S143" i="44" s="1"/>
  <c r="S123" i="44" s="1"/>
  <c r="W145" i="44"/>
  <c r="W39" i="44"/>
  <c r="W173" i="44"/>
  <c r="W116" i="44"/>
  <c r="W36" i="44"/>
  <c r="W112" i="44"/>
  <c r="O47" i="44"/>
  <c r="U43" i="44" s="1"/>
  <c r="M151" i="44"/>
  <c r="T148" i="44" s="1"/>
  <c r="W151" i="44"/>
  <c r="S76" i="44"/>
  <c r="W61" i="44"/>
  <c r="M68" i="44"/>
  <c r="K69" i="44"/>
  <c r="M69" i="44" s="1"/>
  <c r="O92" i="44"/>
  <c r="U88" i="44" s="1"/>
  <c r="O67" i="44"/>
  <c r="S65" i="44" s="1"/>
  <c r="S64" i="44" s="1"/>
  <c r="W35" i="44"/>
  <c r="W192" i="44"/>
  <c r="M188" i="44"/>
  <c r="U184" i="44" s="1"/>
  <c r="O46" i="44"/>
  <c r="T43" i="44" s="1"/>
  <c r="M166" i="44"/>
  <c r="T163" i="44" s="1"/>
  <c r="M57" i="44"/>
  <c r="K58" i="44"/>
  <c r="M58" i="44" s="1"/>
  <c r="M167" i="44"/>
  <c r="U163" i="44" s="1"/>
  <c r="O56" i="44"/>
  <c r="S54" i="44" s="1"/>
  <c r="S53" i="44" s="1"/>
  <c r="S42" i="44" s="1"/>
  <c r="S25" i="44" s="1"/>
  <c r="S24" i="44" s="1"/>
  <c r="W115" i="44"/>
  <c r="M183" i="44"/>
  <c r="U179" i="44" s="1"/>
  <c r="U168" i="44" s="1"/>
  <c r="O91" i="44"/>
  <c r="T88" i="44" s="1"/>
  <c r="T103" i="44"/>
  <c r="M187" i="44"/>
  <c r="T184" i="44" s="1"/>
  <c r="W187" i="44"/>
  <c r="W30" i="44"/>
  <c r="W16" i="44"/>
  <c r="W50" i="44"/>
  <c r="W150" i="44"/>
  <c r="W181" i="44"/>
  <c r="W155" i="44"/>
  <c r="M182" i="44"/>
  <c r="T179" i="44" s="1"/>
  <c r="W161" i="44"/>
  <c r="W186" i="44"/>
  <c r="W111" i="44"/>
  <c r="W41" i="44"/>
  <c r="W193" i="44"/>
  <c r="K40" i="42"/>
  <c r="W183" i="44" l="1"/>
  <c r="W188" i="44"/>
  <c r="W87" i="44"/>
  <c r="O86" i="44"/>
  <c r="T83" i="44" s="1"/>
  <c r="T82" i="44" s="1"/>
  <c r="T76" i="44" s="1"/>
  <c r="W141" i="44"/>
  <c r="O31" i="44"/>
  <c r="U27" i="44" s="1"/>
  <c r="U26" i="44" s="1"/>
  <c r="W31" i="44"/>
  <c r="U82" i="44"/>
  <c r="U76" i="44" s="1"/>
  <c r="W167" i="44"/>
  <c r="W142" i="44"/>
  <c r="M172" i="44"/>
  <c r="T169" i="44" s="1"/>
  <c r="T168" i="44" s="1"/>
  <c r="M131" i="44"/>
  <c r="T128" i="44" s="1"/>
  <c r="W131" i="44"/>
  <c r="M132" i="44"/>
  <c r="U128" i="44" s="1"/>
  <c r="W132" i="44"/>
  <c r="W95" i="44"/>
  <c r="W136" i="42"/>
  <c r="O68" i="44"/>
  <c r="T65" i="44" s="1"/>
  <c r="T64" i="44" s="1"/>
  <c r="O58" i="44"/>
  <c r="U54" i="44" s="1"/>
  <c r="U53" i="44" s="1"/>
  <c r="U42" i="44" s="1"/>
  <c r="W46" i="44"/>
  <c r="W67" i="44"/>
  <c r="W47" i="44"/>
  <c r="W147" i="44"/>
  <c r="M147" i="44"/>
  <c r="U143" i="44" s="1"/>
  <c r="O57" i="44"/>
  <c r="T54" i="44" s="1"/>
  <c r="T53" i="44" s="1"/>
  <c r="T42" i="44" s="1"/>
  <c r="W146" i="44"/>
  <c r="M146" i="44"/>
  <c r="T143" i="44" s="1"/>
  <c r="W182" i="44"/>
  <c r="W91" i="44"/>
  <c r="W56" i="44"/>
  <c r="W92" i="44"/>
  <c r="U123" i="44"/>
  <c r="T123" i="44"/>
  <c r="W137" i="44"/>
  <c r="W136" i="44"/>
  <c r="W166" i="44"/>
  <c r="O69" i="44"/>
  <c r="U65" i="44" s="1"/>
  <c r="U64" i="44" s="1"/>
  <c r="F57" i="42"/>
  <c r="F58" i="42"/>
  <c r="F56" i="42"/>
  <c r="M50" i="42"/>
  <c r="K51" i="42"/>
  <c r="M51" i="42" s="1"/>
  <c r="O51" i="42" s="1"/>
  <c r="F51" i="42"/>
  <c r="F52" i="42"/>
  <c r="F50" i="42"/>
  <c r="M29" i="42"/>
  <c r="O29" i="42" s="1"/>
  <c r="M39" i="42"/>
  <c r="O39" i="42" s="1"/>
  <c r="M38" i="42"/>
  <c r="O38" i="42" s="1"/>
  <c r="M45" i="42"/>
  <c r="O45" i="42" s="1"/>
  <c r="K46" i="42"/>
  <c r="K47" i="42" s="1"/>
  <c r="M47" i="42" s="1"/>
  <c r="O47" i="42" s="1"/>
  <c r="F46" i="42"/>
  <c r="F47" i="42"/>
  <c r="F45" i="42"/>
  <c r="F40" i="42"/>
  <c r="F41" i="42"/>
  <c r="F39" i="42"/>
  <c r="K41" i="42"/>
  <c r="M41" i="42" s="1"/>
  <c r="O41" i="42" s="1"/>
  <c r="K35" i="42"/>
  <c r="F35" i="42"/>
  <c r="F36" i="42"/>
  <c r="F34" i="42"/>
  <c r="K30" i="42"/>
  <c r="M30" i="42" s="1"/>
  <c r="O30" i="42" s="1"/>
  <c r="T25" i="44" l="1"/>
  <c r="T24" i="44" s="1"/>
  <c r="W86" i="44"/>
  <c r="W172" i="44"/>
  <c r="M46" i="42"/>
  <c r="O46" i="42" s="1"/>
  <c r="W51" i="42"/>
  <c r="K52" i="42"/>
  <c r="O50" i="42"/>
  <c r="W50" i="42" s="1"/>
  <c r="W57" i="44"/>
  <c r="W58" i="44"/>
  <c r="U25" i="44"/>
  <c r="U24" i="44" s="1"/>
  <c r="W69" i="44"/>
  <c r="W68" i="44"/>
  <c r="K31" i="42"/>
  <c r="M31" i="42" s="1"/>
  <c r="O31" i="42" s="1"/>
  <c r="M40" i="42"/>
  <c r="O40" i="42" s="1"/>
  <c r="K36" i="42"/>
  <c r="M36" i="42" s="1"/>
  <c r="O36" i="42" s="1"/>
  <c r="M35" i="42"/>
  <c r="O35" i="42" s="1"/>
  <c r="M34" i="42"/>
  <c r="O34" i="42" s="1"/>
  <c r="F30" i="42"/>
  <c r="F31" i="42"/>
  <c r="F29" i="42"/>
  <c r="F23" i="42"/>
  <c r="F21" i="42"/>
  <c r="F19" i="42"/>
  <c r="I14" i="42"/>
  <c r="I15" i="42" s="1"/>
  <c r="I16" i="42" s="1"/>
  <c r="M52" i="42" l="1"/>
  <c r="O52" i="42" s="1"/>
  <c r="H177" i="42"/>
  <c r="H176" i="42"/>
  <c r="G175" i="42"/>
  <c r="M175" i="42" s="1"/>
  <c r="O175" i="42" s="1"/>
  <c r="T173" i="42" s="1"/>
  <c r="M174" i="42"/>
  <c r="O174" i="42" s="1"/>
  <c r="G171" i="42"/>
  <c r="K171" i="42" s="1"/>
  <c r="K170" i="42"/>
  <c r="K169" i="42"/>
  <c r="W167" i="42"/>
  <c r="G165" i="42"/>
  <c r="G166" i="42" s="1"/>
  <c r="K164" i="42"/>
  <c r="M164" i="42" s="1"/>
  <c r="K163" i="42"/>
  <c r="K126" i="42"/>
  <c r="K125" i="42"/>
  <c r="K124" i="42"/>
  <c r="W122" i="42"/>
  <c r="K121" i="42"/>
  <c r="K119" i="42"/>
  <c r="K110" i="42"/>
  <c r="K109" i="42"/>
  <c r="O106" i="42"/>
  <c r="Q106" i="42" s="1"/>
  <c r="O105" i="42"/>
  <c r="Q105" i="42" s="1"/>
  <c r="O104" i="42"/>
  <c r="Q104" i="42" s="1"/>
  <c r="K99" i="42"/>
  <c r="H96" i="42"/>
  <c r="H95" i="42"/>
  <c r="V87" i="42"/>
  <c r="H91" i="42"/>
  <c r="H90" i="42"/>
  <c r="H86" i="42"/>
  <c r="H85" i="42"/>
  <c r="W81" i="42"/>
  <c r="U77" i="42"/>
  <c r="U76" i="42" s="1"/>
  <c r="W78" i="42"/>
  <c r="W76" i="42"/>
  <c r="V70" i="42"/>
  <c r="T70" i="42"/>
  <c r="M68" i="42"/>
  <c r="O68" i="42" s="1"/>
  <c r="I58" i="42"/>
  <c r="H58" i="42"/>
  <c r="G58" i="42"/>
  <c r="I57" i="42"/>
  <c r="M57" i="42" s="1"/>
  <c r="O57" i="42" s="1"/>
  <c r="H57" i="42"/>
  <c r="T54" i="42"/>
  <c r="T53" i="42" s="1"/>
  <c r="W53" i="42"/>
  <c r="T43" i="42"/>
  <c r="W42" i="42"/>
  <c r="T37" i="42"/>
  <c r="U37" i="42"/>
  <c r="T32" i="42"/>
  <c r="M33" i="42"/>
  <c r="O33" i="42" s="1"/>
  <c r="H31" i="42"/>
  <c r="U27" i="42"/>
  <c r="H30" i="42"/>
  <c r="W26" i="42"/>
  <c r="O22" i="42"/>
  <c r="I23" i="42" s="1"/>
  <c r="K23" i="42" s="1"/>
  <c r="M23" i="42" s="1"/>
  <c r="V17" i="42" s="1"/>
  <c r="O20" i="42"/>
  <c r="I21" i="42" s="1"/>
  <c r="K21" i="42" s="1"/>
  <c r="M21" i="42" s="1"/>
  <c r="U17" i="42" s="1"/>
  <c r="O18" i="42"/>
  <c r="W12" i="42"/>
  <c r="W11" i="42"/>
  <c r="O164" i="42" l="1"/>
  <c r="T162" i="42"/>
  <c r="G176" i="42"/>
  <c r="M176" i="42" s="1"/>
  <c r="O176" i="42" s="1"/>
  <c r="U173" i="42" s="1"/>
  <c r="M171" i="42"/>
  <c r="O171" i="42" s="1"/>
  <c r="U168" i="42" s="1"/>
  <c r="M170" i="42"/>
  <c r="O170" i="42" s="1"/>
  <c r="T168" i="42" s="1"/>
  <c r="W52" i="42"/>
  <c r="M58" i="42"/>
  <c r="O58" i="42" s="1"/>
  <c r="V54" i="42" s="1"/>
  <c r="V53" i="42" s="1"/>
  <c r="V103" i="42"/>
  <c r="M124" i="42"/>
  <c r="W20" i="42"/>
  <c r="M125" i="42"/>
  <c r="W181" i="42"/>
  <c r="T103" i="42"/>
  <c r="M99" i="42"/>
  <c r="O99" i="42" s="1"/>
  <c r="M126" i="42"/>
  <c r="M119" i="42"/>
  <c r="M121" i="42"/>
  <c r="M110" i="42"/>
  <c r="M109" i="42"/>
  <c r="O109" i="42" s="1"/>
  <c r="U97" i="42"/>
  <c r="K96" i="42"/>
  <c r="M96" i="42" s="1"/>
  <c r="O96" i="42" s="1"/>
  <c r="T77" i="42"/>
  <c r="T76" i="42" s="1"/>
  <c r="V77" i="42"/>
  <c r="V76" i="42" s="1"/>
  <c r="W56" i="42"/>
  <c r="U43" i="42"/>
  <c r="W46" i="42"/>
  <c r="V27" i="42"/>
  <c r="W22" i="42"/>
  <c r="K14" i="42"/>
  <c r="M14" i="42" s="1"/>
  <c r="W34" i="42"/>
  <c r="W175" i="42"/>
  <c r="W30" i="42"/>
  <c r="V37" i="42"/>
  <c r="W74" i="42"/>
  <c r="W91" i="42"/>
  <c r="U82" i="42"/>
  <c r="U103" i="42"/>
  <c r="W164" i="42"/>
  <c r="W176" i="42"/>
  <c r="T183" i="42"/>
  <c r="I19" i="42"/>
  <c r="K19" i="42" s="1"/>
  <c r="M19" i="42" s="1"/>
  <c r="T17" i="42" s="1"/>
  <c r="W29" i="42"/>
  <c r="T27" i="42"/>
  <c r="T26" i="42" s="1"/>
  <c r="M69" i="42"/>
  <c r="O69" i="42" s="1"/>
  <c r="U183" i="42"/>
  <c r="T59" i="42"/>
  <c r="W45" i="42"/>
  <c r="U54" i="42"/>
  <c r="U53" i="42" s="1"/>
  <c r="U65" i="42"/>
  <c r="W73" i="42"/>
  <c r="U70" i="42"/>
  <c r="W90" i="42"/>
  <c r="W106" i="42"/>
  <c r="K120" i="42"/>
  <c r="T48" i="42"/>
  <c r="W39" i="42"/>
  <c r="V43" i="42"/>
  <c r="U48" i="42"/>
  <c r="W72" i="42"/>
  <c r="W79" i="42"/>
  <c r="W31" i="42"/>
  <c r="W40" i="42"/>
  <c r="K111" i="42"/>
  <c r="K166" i="42"/>
  <c r="M166" i="42" s="1"/>
  <c r="O166" i="42" s="1"/>
  <c r="K165" i="42"/>
  <c r="M165" i="42" s="1"/>
  <c r="O165" i="42" s="1"/>
  <c r="G172" i="42"/>
  <c r="K172" i="42" s="1"/>
  <c r="T65" i="42"/>
  <c r="T64" i="42" s="1"/>
  <c r="T82" i="42"/>
  <c r="K67" i="41"/>
  <c r="K68" i="41" s="1"/>
  <c r="K69" i="41" s="1"/>
  <c r="M72" i="41"/>
  <c r="O72" i="41" s="1"/>
  <c r="T70" i="41" s="1"/>
  <c r="K61" i="41"/>
  <c r="K62" i="41" s="1"/>
  <c r="K63" i="41" s="1"/>
  <c r="K57" i="41"/>
  <c r="K58" i="41" s="1"/>
  <c r="H52" i="41"/>
  <c r="H51" i="41"/>
  <c r="K46" i="41"/>
  <c r="K47" i="41" s="1"/>
  <c r="G177" i="42" l="1"/>
  <c r="M177" i="42" s="1"/>
  <c r="O177" i="42" s="1"/>
  <c r="V173" i="42" s="1"/>
  <c r="T167" i="42"/>
  <c r="W171" i="42"/>
  <c r="U167" i="42"/>
  <c r="U64" i="42"/>
  <c r="W170" i="42"/>
  <c r="W165" i="42"/>
  <c r="M172" i="42"/>
  <c r="O172" i="42" s="1"/>
  <c r="V168" i="42" s="1"/>
  <c r="O121" i="42"/>
  <c r="V117" i="42" s="1"/>
  <c r="O119" i="42"/>
  <c r="W119" i="42" s="1"/>
  <c r="O125" i="42"/>
  <c r="U123" i="42" s="1"/>
  <c r="V123" i="42"/>
  <c r="O126" i="42"/>
  <c r="W126" i="42" s="1"/>
  <c r="O110" i="42"/>
  <c r="U107" i="42" s="1"/>
  <c r="O124" i="42"/>
  <c r="T123" i="42" s="1"/>
  <c r="W104" i="42"/>
  <c r="W99" i="42"/>
  <c r="T97" i="42"/>
  <c r="W58" i="42"/>
  <c r="W166" i="42"/>
  <c r="W182" i="42"/>
  <c r="W177" i="42"/>
  <c r="M120" i="42"/>
  <c r="T107" i="42"/>
  <c r="M111" i="42"/>
  <c r="T92" i="42"/>
  <c r="W96" i="42"/>
  <c r="W85" i="42"/>
  <c r="W84" i="42"/>
  <c r="W80" i="42"/>
  <c r="W61" i="42"/>
  <c r="T42" i="42"/>
  <c r="T25" i="42" s="1"/>
  <c r="W47" i="42"/>
  <c r="W14" i="42"/>
  <c r="T13" i="42"/>
  <c r="T12" i="42" s="1"/>
  <c r="T11" i="42" s="1"/>
  <c r="U92" i="42"/>
  <c r="V65" i="42"/>
  <c r="V64" i="42" s="1"/>
  <c r="T87" i="42"/>
  <c r="T81" i="42" s="1"/>
  <c r="K15" i="42"/>
  <c r="M15" i="42" s="1"/>
  <c r="U13" i="42" s="1"/>
  <c r="U12" i="42" s="1"/>
  <c r="U11" i="42" s="1"/>
  <c r="U162" i="42"/>
  <c r="V82" i="42"/>
  <c r="V81" i="42" s="1"/>
  <c r="U59" i="42"/>
  <c r="U42" i="42" s="1"/>
  <c r="W105" i="42"/>
  <c r="V48" i="42"/>
  <c r="W41" i="42"/>
  <c r="W89" i="42"/>
  <c r="W95" i="42"/>
  <c r="W18" i="42"/>
  <c r="W180" i="42"/>
  <c r="V183" i="42"/>
  <c r="V162" i="42"/>
  <c r="W57" i="42"/>
  <c r="U87" i="42"/>
  <c r="U81" i="42" s="1"/>
  <c r="W68" i="42"/>
  <c r="U32" i="42"/>
  <c r="U26" i="42" s="1"/>
  <c r="U25" i="42" s="1"/>
  <c r="X72" i="41"/>
  <c r="K74" i="41"/>
  <c r="M73" i="41"/>
  <c r="M52" i="41"/>
  <c r="O52" i="41" s="1"/>
  <c r="M51" i="41"/>
  <c r="O51" i="41" s="1"/>
  <c r="M50" i="41"/>
  <c r="O50" i="41" s="1"/>
  <c r="K51" i="41"/>
  <c r="K52" i="41" s="1"/>
  <c r="K39" i="41"/>
  <c r="K40" i="41" s="1"/>
  <c r="K41" i="41" s="1"/>
  <c r="K34" i="41"/>
  <c r="K35" i="41" s="1"/>
  <c r="K36" i="41" s="1"/>
  <c r="X52" i="41" l="1"/>
  <c r="W121" i="42"/>
  <c r="V122" i="42"/>
  <c r="V167" i="42"/>
  <c r="U122" i="42"/>
  <c r="T122" i="42"/>
  <c r="W172" i="42"/>
  <c r="W124" i="42"/>
  <c r="W125" i="42"/>
  <c r="W110" i="42"/>
  <c r="T117" i="42"/>
  <c r="T102" i="42" s="1"/>
  <c r="O111" i="42"/>
  <c r="V107" i="42" s="1"/>
  <c r="V102" i="42" s="1"/>
  <c r="O120" i="42"/>
  <c r="U117" i="42" s="1"/>
  <c r="U102" i="42" s="1"/>
  <c r="W109" i="42"/>
  <c r="T75" i="42"/>
  <c r="V92" i="42"/>
  <c r="V75" i="42" s="1"/>
  <c r="U75" i="42"/>
  <c r="W86" i="42"/>
  <c r="W62" i="42"/>
  <c r="W35" i="42"/>
  <c r="W15" i="42"/>
  <c r="V59" i="42"/>
  <c r="V42" i="42" s="1"/>
  <c r="K16" i="42"/>
  <c r="M16" i="42" s="1"/>
  <c r="V13" i="42" s="1"/>
  <c r="V12" i="42" s="1"/>
  <c r="V11" i="42" s="1"/>
  <c r="W69" i="42"/>
  <c r="O73" i="41"/>
  <c r="U70" i="41" s="1"/>
  <c r="X50" i="41"/>
  <c r="X51" i="41"/>
  <c r="M74" i="41"/>
  <c r="O74" i="41" s="1"/>
  <c r="V70" i="41" s="1"/>
  <c r="K30" i="41"/>
  <c r="K31" i="41" s="1"/>
  <c r="M29" i="41"/>
  <c r="O29" i="41" s="1"/>
  <c r="H30" i="41"/>
  <c r="H31" i="41"/>
  <c r="M33" i="41"/>
  <c r="X11" i="41"/>
  <c r="X73" i="41" l="1"/>
  <c r="W120" i="42"/>
  <c r="U24" i="42"/>
  <c r="T24" i="42"/>
  <c r="W111" i="42"/>
  <c r="W63" i="42"/>
  <c r="W16" i="42"/>
  <c r="V32" i="42"/>
  <c r="V26" i="42" s="1"/>
  <c r="V25" i="42" s="1"/>
  <c r="V24" i="42" s="1"/>
  <c r="W36" i="42"/>
  <c r="X74" i="41"/>
  <c r="M31" i="41"/>
  <c r="O31" i="41" s="1"/>
  <c r="M30" i="41"/>
  <c r="O30" i="41" s="1"/>
  <c r="I14" i="41"/>
  <c r="I15" i="41" s="1"/>
  <c r="I16" i="41" s="1"/>
  <c r="I163" i="41" l="1"/>
  <c r="M162" i="41"/>
  <c r="O162" i="41" s="1"/>
  <c r="M161" i="41"/>
  <c r="O161" i="41" s="1"/>
  <c r="I158" i="41"/>
  <c r="M157" i="41"/>
  <c r="M156" i="41"/>
  <c r="K153" i="41"/>
  <c r="H153" i="41"/>
  <c r="H152" i="41"/>
  <c r="G151" i="41"/>
  <c r="G152" i="41" s="1"/>
  <c r="M150" i="41"/>
  <c r="I147" i="41"/>
  <c r="G147" i="41"/>
  <c r="K146" i="41"/>
  <c r="K145" i="41"/>
  <c r="X143" i="41"/>
  <c r="H142" i="41"/>
  <c r="I141" i="41"/>
  <c r="I142" i="41" s="1"/>
  <c r="H141" i="41"/>
  <c r="G141" i="41"/>
  <c r="G142" i="41" s="1"/>
  <c r="K140" i="41"/>
  <c r="M140" i="41" s="1"/>
  <c r="K139" i="41"/>
  <c r="Q137" i="41"/>
  <c r="H137" i="41"/>
  <c r="I136" i="41"/>
  <c r="M136" i="41" s="1"/>
  <c r="U133" i="41" s="1"/>
  <c r="H136" i="41"/>
  <c r="M135" i="41"/>
  <c r="T133" i="41" s="1"/>
  <c r="K135" i="41"/>
  <c r="X135" i="41" s="1"/>
  <c r="K134" i="41"/>
  <c r="I132" i="41"/>
  <c r="H132" i="41"/>
  <c r="H131" i="41"/>
  <c r="G131" i="41"/>
  <c r="G132" i="41" s="1"/>
  <c r="K130" i="41"/>
  <c r="M130" i="41" s="1"/>
  <c r="O130" i="41" s="1"/>
  <c r="K129" i="41"/>
  <c r="G126" i="41"/>
  <c r="G127" i="41" s="1"/>
  <c r="M125" i="41"/>
  <c r="O125" i="41" s="1"/>
  <c r="K123" i="41"/>
  <c r="M123" i="41" s="1"/>
  <c r="X123" i="41" s="1"/>
  <c r="K122" i="41"/>
  <c r="M122" i="41" s="1"/>
  <c r="X122" i="41" s="1"/>
  <c r="K121" i="41"/>
  <c r="M121" i="41" s="1"/>
  <c r="X119" i="41"/>
  <c r="I117" i="41"/>
  <c r="I118" i="41" s="1"/>
  <c r="K118" i="41" s="1"/>
  <c r="K116" i="41"/>
  <c r="M116" i="41" s="1"/>
  <c r="O116" i="41" s="1"/>
  <c r="I113" i="41"/>
  <c r="K113" i="41" s="1"/>
  <c r="M113" i="41" s="1"/>
  <c r="O113" i="41" s="1"/>
  <c r="K112" i="41"/>
  <c r="M112" i="41" s="1"/>
  <c r="U109" i="41" s="1"/>
  <c r="K111" i="41"/>
  <c r="O108" i="41"/>
  <c r="O107" i="41"/>
  <c r="Q107" i="41" s="1"/>
  <c r="U105" i="41" s="1"/>
  <c r="O106" i="41"/>
  <c r="Q106" i="41" s="1"/>
  <c r="X106" i="41" s="1"/>
  <c r="X104" i="41"/>
  <c r="I103" i="41"/>
  <c r="K103" i="41" s="1"/>
  <c r="M103" i="41" s="1"/>
  <c r="O103" i="41" s="1"/>
  <c r="Q103" i="41" s="1"/>
  <c r="V99" i="41" s="1"/>
  <c r="H103" i="41"/>
  <c r="K102" i="41"/>
  <c r="M102" i="41" s="1"/>
  <c r="O102" i="41" s="1"/>
  <c r="U99" i="41" s="1"/>
  <c r="H102" i="41"/>
  <c r="K101" i="41"/>
  <c r="K100" i="41"/>
  <c r="K98" i="41"/>
  <c r="I98" i="41"/>
  <c r="M98" i="41" s="1"/>
  <c r="O98" i="41" s="1"/>
  <c r="H98" i="41"/>
  <c r="M97" i="41"/>
  <c r="O97" i="41" s="1"/>
  <c r="H97" i="41"/>
  <c r="M96" i="41"/>
  <c r="M95" i="41"/>
  <c r="K93" i="41"/>
  <c r="H93" i="41"/>
  <c r="M92" i="41"/>
  <c r="O92" i="41" s="1"/>
  <c r="U89" i="41" s="1"/>
  <c r="H92" i="41"/>
  <c r="M91" i="41"/>
  <c r="O91" i="41" s="1"/>
  <c r="Q91" i="41" s="1"/>
  <c r="M90" i="41"/>
  <c r="H88" i="41"/>
  <c r="H87" i="41"/>
  <c r="K86" i="41"/>
  <c r="M86" i="41" s="1"/>
  <c r="O86" i="41" s="1"/>
  <c r="T84" i="41" s="1"/>
  <c r="M85" i="41"/>
  <c r="X83" i="41"/>
  <c r="M82" i="41"/>
  <c r="O82" i="41" s="1"/>
  <c r="V79" i="41" s="1"/>
  <c r="V78" i="41" s="1"/>
  <c r="M81" i="41"/>
  <c r="M80" i="41"/>
  <c r="O80" i="41" s="1"/>
  <c r="T79" i="41" s="1"/>
  <c r="T78" i="41" s="1"/>
  <c r="X78" i="41"/>
  <c r="X77" i="41"/>
  <c r="X76" i="41"/>
  <c r="M68" i="41"/>
  <c r="M67" i="41"/>
  <c r="X64" i="41"/>
  <c r="M63" i="41"/>
  <c r="M62" i="41"/>
  <c r="O62" i="41" s="1"/>
  <c r="M61" i="41"/>
  <c r="O61" i="41" s="1"/>
  <c r="M60" i="41"/>
  <c r="I58" i="41"/>
  <c r="H58" i="41"/>
  <c r="G58" i="41"/>
  <c r="I57" i="41"/>
  <c r="M57" i="41" s="1"/>
  <c r="H57" i="41"/>
  <c r="M56" i="41"/>
  <c r="M55" i="41"/>
  <c r="X53" i="41"/>
  <c r="U48" i="41"/>
  <c r="T48" i="41"/>
  <c r="M47" i="41"/>
  <c r="O47" i="41" s="1"/>
  <c r="M46" i="41"/>
  <c r="O46" i="41" s="1"/>
  <c r="M45" i="41"/>
  <c r="O45" i="41" s="1"/>
  <c r="X42" i="41"/>
  <c r="M39" i="41"/>
  <c r="M38" i="41"/>
  <c r="M35" i="41"/>
  <c r="O35" i="41" s="1"/>
  <c r="M34" i="41"/>
  <c r="O34" i="41" s="1"/>
  <c r="U27" i="41"/>
  <c r="T27" i="41"/>
  <c r="X26" i="41"/>
  <c r="X25" i="41"/>
  <c r="X24" i="41"/>
  <c r="O22" i="41"/>
  <c r="I23" i="41" s="1"/>
  <c r="K23" i="41" s="1"/>
  <c r="O20" i="41"/>
  <c r="I21" i="41" s="1"/>
  <c r="K21" i="41" s="1"/>
  <c r="M21" i="41" s="1"/>
  <c r="O18" i="41"/>
  <c r="I19" i="41" s="1"/>
  <c r="K19" i="41" s="1"/>
  <c r="M19" i="41" s="1"/>
  <c r="K16" i="41"/>
  <c r="K15" i="41"/>
  <c r="K14" i="41"/>
  <c r="M14" i="41" s="1"/>
  <c r="X12" i="41"/>
  <c r="K87" i="41" l="1"/>
  <c r="M87" i="41" s="1"/>
  <c r="O87" i="41" s="1"/>
  <c r="U84" i="41" s="1"/>
  <c r="M16" i="41"/>
  <c r="V13" i="41" s="1"/>
  <c r="K88" i="41"/>
  <c r="M88" i="41" s="1"/>
  <c r="O88" i="41" s="1"/>
  <c r="V84" i="41" s="1"/>
  <c r="M15" i="41"/>
  <c r="U13" i="41" s="1"/>
  <c r="U54" i="41"/>
  <c r="U53" i="41" s="1"/>
  <c r="O57" i="41"/>
  <c r="K117" i="41"/>
  <c r="M117" i="41" s="1"/>
  <c r="O117" i="41" s="1"/>
  <c r="O67" i="41"/>
  <c r="T65" i="41" s="1"/>
  <c r="T64" i="41" s="1"/>
  <c r="X92" i="41"/>
  <c r="T37" i="41"/>
  <c r="O39" i="41"/>
  <c r="O63" i="41"/>
  <c r="V59" i="41" s="1"/>
  <c r="X80" i="41"/>
  <c r="X107" i="41"/>
  <c r="M23" i="41"/>
  <c r="V17" i="41" s="1"/>
  <c r="O56" i="41"/>
  <c r="T54" i="41" s="1"/>
  <c r="T53" i="41" s="1"/>
  <c r="O68" i="41"/>
  <c r="U65" i="41" s="1"/>
  <c r="U64" i="41" s="1"/>
  <c r="X68" i="41"/>
  <c r="K147" i="41"/>
  <c r="M147" i="41" s="1"/>
  <c r="U144" i="41" s="1"/>
  <c r="V43" i="41"/>
  <c r="U43" i="41"/>
  <c r="U32" i="41"/>
  <c r="T32" i="41"/>
  <c r="X39" i="41"/>
  <c r="U59" i="41"/>
  <c r="X121" i="41"/>
  <c r="T120" i="41"/>
  <c r="X98" i="41"/>
  <c r="G148" i="41"/>
  <c r="X30" i="41"/>
  <c r="M40" i="41"/>
  <c r="M69" i="41"/>
  <c r="U83" i="41"/>
  <c r="Q92" i="41"/>
  <c r="M93" i="41"/>
  <c r="O93" i="41" s="1"/>
  <c r="Q93" i="41" s="1"/>
  <c r="V89" i="41" s="1"/>
  <c r="O112" i="41"/>
  <c r="T114" i="41"/>
  <c r="M126" i="41"/>
  <c r="O126" i="41" s="1"/>
  <c r="X103" i="41"/>
  <c r="X56" i="41"/>
  <c r="M111" i="41"/>
  <c r="X113" i="41"/>
  <c r="U114" i="41"/>
  <c r="U104" i="41" s="1"/>
  <c r="K131" i="41"/>
  <c r="M131" i="41" s="1"/>
  <c r="O131" i="41" s="1"/>
  <c r="X112" i="41"/>
  <c r="X116" i="41"/>
  <c r="X117" i="41"/>
  <c r="M146" i="41"/>
  <c r="X146" i="41" s="1"/>
  <c r="U17" i="41"/>
  <c r="T17" i="41"/>
  <c r="T13" i="41"/>
  <c r="X15" i="41"/>
  <c r="V27" i="41"/>
  <c r="X45" i="41"/>
  <c r="T43" i="41"/>
  <c r="X16" i="41"/>
  <c r="X47" i="41"/>
  <c r="T89" i="41"/>
  <c r="T83" i="41" s="1"/>
  <c r="Q97" i="41"/>
  <c r="U94" i="41"/>
  <c r="M101" i="41"/>
  <c r="M127" i="41"/>
  <c r="O127" i="41" s="1"/>
  <c r="V124" i="41" s="1"/>
  <c r="X127" i="41"/>
  <c r="K142" i="41"/>
  <c r="M142" i="41" s="1"/>
  <c r="X34" i="41"/>
  <c r="M36" i="41"/>
  <c r="O36" i="41" s="1"/>
  <c r="V48" i="41"/>
  <c r="T59" i="41"/>
  <c r="X61" i="41"/>
  <c r="X97" i="41"/>
  <c r="Q98" i="41"/>
  <c r="V94" i="41"/>
  <c r="X126" i="41"/>
  <c r="U124" i="41"/>
  <c r="X161" i="41"/>
  <c r="Q161" i="41"/>
  <c r="T159" i="41"/>
  <c r="O81" i="41"/>
  <c r="U79" i="41" s="1"/>
  <c r="U78" i="41" s="1"/>
  <c r="O96" i="41"/>
  <c r="X96" i="41" s="1"/>
  <c r="M152" i="41"/>
  <c r="G153" i="41"/>
  <c r="M153" i="41" s="1"/>
  <c r="X162" i="41"/>
  <c r="Q162" i="41"/>
  <c r="U159" i="41"/>
  <c r="M58" i="41"/>
  <c r="X22" i="41"/>
  <c r="X29" i="41"/>
  <c r="X31" i="41"/>
  <c r="X35" i="41"/>
  <c r="X57" i="41"/>
  <c r="X62" i="41"/>
  <c r="X82" i="41"/>
  <c r="X86" i="41"/>
  <c r="X87" i="41"/>
  <c r="X88" i="41"/>
  <c r="X91" i="41"/>
  <c r="X102" i="41"/>
  <c r="T105" i="41"/>
  <c r="T124" i="41"/>
  <c r="X125" i="41"/>
  <c r="T138" i="41"/>
  <c r="O140" i="41"/>
  <c r="O147" i="41"/>
  <c r="I148" i="41"/>
  <c r="K148" i="41" s="1"/>
  <c r="M148" i="41" s="1"/>
  <c r="M151" i="41"/>
  <c r="O156" i="41"/>
  <c r="Q156" i="41" s="1"/>
  <c r="O157" i="41"/>
  <c r="Q157" i="41" s="1"/>
  <c r="M158" i="41"/>
  <c r="O158" i="41" s="1"/>
  <c r="Q158" i="41" s="1"/>
  <c r="M163" i="41"/>
  <c r="O163" i="41" s="1"/>
  <c r="X163" i="41" s="1"/>
  <c r="Q108" i="41"/>
  <c r="V105" i="41" s="1"/>
  <c r="V109" i="41"/>
  <c r="M118" i="41"/>
  <c r="U120" i="41"/>
  <c r="O121" i="41"/>
  <c r="O122" i="41"/>
  <c r="O123" i="41"/>
  <c r="X130" i="41"/>
  <c r="K136" i="41"/>
  <c r="X136" i="41" s="1"/>
  <c r="I137" i="41"/>
  <c r="X140" i="41"/>
  <c r="K141" i="41"/>
  <c r="M141" i="41" s="1"/>
  <c r="V120" i="41"/>
  <c r="K132" i="41"/>
  <c r="M132" i="41" s="1"/>
  <c r="O132" i="41" s="1"/>
  <c r="Q132" i="41" s="1"/>
  <c r="X38" i="40"/>
  <c r="I172" i="40"/>
  <c r="M171" i="40"/>
  <c r="O171" i="40" s="1"/>
  <c r="M170" i="40"/>
  <c r="O170" i="40" s="1"/>
  <c r="I167" i="40"/>
  <c r="M166" i="40"/>
  <c r="M165" i="40"/>
  <c r="K162" i="40"/>
  <c r="H162" i="40"/>
  <c r="H161" i="40"/>
  <c r="G160" i="40"/>
  <c r="G161" i="40" s="1"/>
  <c r="M159" i="40"/>
  <c r="I156" i="40"/>
  <c r="G156" i="40"/>
  <c r="K156" i="40" s="1"/>
  <c r="M156" i="40" s="1"/>
  <c r="K155" i="40"/>
  <c r="M155" i="40" s="1"/>
  <c r="K154" i="40"/>
  <c r="X152" i="40"/>
  <c r="H151" i="40"/>
  <c r="I150" i="40"/>
  <c r="I151" i="40" s="1"/>
  <c r="H150" i="40"/>
  <c r="G150" i="40"/>
  <c r="G151" i="40" s="1"/>
  <c r="M149" i="40"/>
  <c r="T147" i="40" s="1"/>
  <c r="K149" i="40"/>
  <c r="K148" i="40"/>
  <c r="Q146" i="40"/>
  <c r="H146" i="40"/>
  <c r="I145" i="40"/>
  <c r="M145" i="40" s="1"/>
  <c r="U142" i="40" s="1"/>
  <c r="H145" i="40"/>
  <c r="M144" i="40"/>
  <c r="T142" i="40" s="1"/>
  <c r="K144" i="40"/>
  <c r="K143" i="40"/>
  <c r="I141" i="40"/>
  <c r="H141" i="40"/>
  <c r="K140" i="40"/>
  <c r="H140" i="40"/>
  <c r="G140" i="40"/>
  <c r="G141" i="40" s="1"/>
  <c r="K139" i="40"/>
  <c r="M139" i="40" s="1"/>
  <c r="X139" i="40" s="1"/>
  <c r="K138" i="40"/>
  <c r="G135" i="40"/>
  <c r="M135" i="40" s="1"/>
  <c r="M134" i="40"/>
  <c r="K132" i="40"/>
  <c r="K131" i="40"/>
  <c r="K130" i="40"/>
  <c r="M130" i="40" s="1"/>
  <c r="O130" i="40" s="1"/>
  <c r="X128" i="40"/>
  <c r="I127" i="40"/>
  <c r="K127" i="40" s="1"/>
  <c r="I126" i="40"/>
  <c r="K126" i="40" s="1"/>
  <c r="M126" i="40" s="1"/>
  <c r="O126" i="40" s="1"/>
  <c r="K125" i="40"/>
  <c r="I122" i="40"/>
  <c r="K122" i="40" s="1"/>
  <c r="M122" i="40" s="1"/>
  <c r="K121" i="40"/>
  <c r="M121" i="40" s="1"/>
  <c r="K120" i="40"/>
  <c r="O117" i="40"/>
  <c r="O116" i="40"/>
  <c r="O115" i="40"/>
  <c r="X113" i="40"/>
  <c r="I112" i="40"/>
  <c r="K112" i="40" s="1"/>
  <c r="M112" i="40" s="1"/>
  <c r="O112" i="40" s="1"/>
  <c r="Q112" i="40" s="1"/>
  <c r="V108" i="40" s="1"/>
  <c r="H112" i="40"/>
  <c r="K111" i="40"/>
  <c r="H111" i="40"/>
  <c r="K110" i="40"/>
  <c r="M110" i="40" s="1"/>
  <c r="K109" i="40"/>
  <c r="K107" i="40"/>
  <c r="I107" i="40"/>
  <c r="M107" i="40" s="1"/>
  <c r="O107" i="40" s="1"/>
  <c r="H107" i="40"/>
  <c r="M106" i="40"/>
  <c r="O106" i="40" s="1"/>
  <c r="Q106" i="40" s="1"/>
  <c r="H106" i="40"/>
  <c r="M105" i="40"/>
  <c r="O105" i="40" s="1"/>
  <c r="M104" i="40"/>
  <c r="K102" i="40"/>
  <c r="M102" i="40" s="1"/>
  <c r="O102" i="40" s="1"/>
  <c r="Q102" i="40" s="1"/>
  <c r="V98" i="40" s="1"/>
  <c r="H102" i="40"/>
  <c r="O101" i="40"/>
  <c r="U98" i="40" s="1"/>
  <c r="M101" i="40"/>
  <c r="H101" i="40"/>
  <c r="M100" i="40"/>
  <c r="O100" i="40" s="1"/>
  <c r="Q100" i="40" s="1"/>
  <c r="M99" i="40"/>
  <c r="T98" i="40"/>
  <c r="H97" i="40"/>
  <c r="H96" i="40"/>
  <c r="K95" i="40"/>
  <c r="K96" i="40" s="1"/>
  <c r="K97" i="40" s="1"/>
  <c r="M94" i="40"/>
  <c r="X92" i="40"/>
  <c r="M91" i="40"/>
  <c r="M90" i="40"/>
  <c r="O89" i="40"/>
  <c r="T88" i="40" s="1"/>
  <c r="T87" i="40" s="1"/>
  <c r="M89" i="40"/>
  <c r="X87" i="40"/>
  <c r="X86" i="40"/>
  <c r="X85" i="40"/>
  <c r="K81" i="40"/>
  <c r="M81" i="40" s="1"/>
  <c r="O81" i="40" s="1"/>
  <c r="U78" i="40" s="1"/>
  <c r="U77" i="40" s="1"/>
  <c r="M80" i="40"/>
  <c r="O80" i="40" s="1"/>
  <c r="T78" i="40" s="1"/>
  <c r="T77" i="40" s="1"/>
  <c r="X77" i="40"/>
  <c r="K76" i="40"/>
  <c r="M76" i="40" s="1"/>
  <c r="O76" i="40" s="1"/>
  <c r="Q76" i="40" s="1"/>
  <c r="V72" i="40" s="1"/>
  <c r="H76" i="40"/>
  <c r="M75" i="40"/>
  <c r="O75" i="40" s="1"/>
  <c r="H75" i="40"/>
  <c r="M74" i="40"/>
  <c r="M73" i="40"/>
  <c r="K71" i="40"/>
  <c r="I71" i="40"/>
  <c r="H71" i="40"/>
  <c r="G71" i="40"/>
  <c r="I70" i="40"/>
  <c r="H70" i="40"/>
  <c r="M69" i="40"/>
  <c r="O69" i="40" s="1"/>
  <c r="T67" i="40" s="1"/>
  <c r="T66" i="40" s="1"/>
  <c r="M68" i="40"/>
  <c r="X66" i="40"/>
  <c r="K64" i="40"/>
  <c r="M63" i="40"/>
  <c r="O60" i="40"/>
  <c r="V56" i="40" s="1"/>
  <c r="K60" i="40"/>
  <c r="M60" i="40" s="1"/>
  <c r="M59" i="40"/>
  <c r="O59" i="40" s="1"/>
  <c r="U56" i="40" s="1"/>
  <c r="M58" i="40"/>
  <c r="O58" i="40" s="1"/>
  <c r="X58" i="40" s="1"/>
  <c r="X55" i="40"/>
  <c r="K53" i="40"/>
  <c r="K54" i="40" s="1"/>
  <c r="M52" i="40"/>
  <c r="O52" i="40" s="1"/>
  <c r="T50" i="40" s="1"/>
  <c r="M51" i="40"/>
  <c r="K49" i="40"/>
  <c r="M49" i="40" s="1"/>
  <c r="O49" i="40" s="1"/>
  <c r="Q49" i="40" s="1"/>
  <c r="M48" i="40"/>
  <c r="O48" i="40" s="1"/>
  <c r="U45" i="40" s="1"/>
  <c r="M47" i="40"/>
  <c r="M46" i="40"/>
  <c r="K44" i="40"/>
  <c r="M44" i="40" s="1"/>
  <c r="O44" i="40" s="1"/>
  <c r="X44" i="40" s="1"/>
  <c r="H44" i="40"/>
  <c r="M43" i="40"/>
  <c r="O43" i="40" s="1"/>
  <c r="U40" i="40" s="1"/>
  <c r="H43" i="40"/>
  <c r="M42" i="40"/>
  <c r="O42" i="40" s="1"/>
  <c r="T40" i="40" s="1"/>
  <c r="X39" i="40"/>
  <c r="X37" i="40"/>
  <c r="O35" i="40"/>
  <c r="O33" i="40"/>
  <c r="I34" i="40" s="1"/>
  <c r="K34" i="40" s="1"/>
  <c r="M34" i="40" s="1"/>
  <c r="U30" i="40" s="1"/>
  <c r="O31" i="40"/>
  <c r="I29" i="40"/>
  <c r="I28" i="40"/>
  <c r="M27" i="40"/>
  <c r="X27" i="40" s="1"/>
  <c r="K27" i="40"/>
  <c r="X25" i="40"/>
  <c r="I24" i="40"/>
  <c r="K24" i="40" s="1"/>
  <c r="M24" i="40" s="1"/>
  <c r="V20" i="40" s="1"/>
  <c r="H24" i="40"/>
  <c r="K23" i="40"/>
  <c r="M23" i="40" s="1"/>
  <c r="U20" i="40" s="1"/>
  <c r="H23" i="40"/>
  <c r="K22" i="40"/>
  <c r="M22" i="40" s="1"/>
  <c r="T20" i="40" s="1"/>
  <c r="K21" i="40"/>
  <c r="M19" i="40"/>
  <c r="O19" i="40" s="1"/>
  <c r="K19" i="40"/>
  <c r="H19" i="40"/>
  <c r="M18" i="40"/>
  <c r="H18" i="40"/>
  <c r="M17" i="40"/>
  <c r="O17" i="40" s="1"/>
  <c r="T15" i="40" s="1"/>
  <c r="M16" i="40"/>
  <c r="X14" i="40"/>
  <c r="X13" i="40"/>
  <c r="X12" i="40"/>
  <c r="X11" i="40"/>
  <c r="I156" i="39"/>
  <c r="X77" i="39"/>
  <c r="K64" i="39"/>
  <c r="K65" i="39" s="1"/>
  <c r="K54" i="39"/>
  <c r="K53" i="39"/>
  <c r="I145" i="39"/>
  <c r="M145" i="39" s="1"/>
  <c r="M144" i="39"/>
  <c r="K144" i="39"/>
  <c r="X144" i="39" s="1"/>
  <c r="Q101" i="40" l="1"/>
  <c r="X63" i="41"/>
  <c r="U76" i="41"/>
  <c r="X81" i="40"/>
  <c r="K82" i="40"/>
  <c r="M82" i="40" s="1"/>
  <c r="O82" i="40" s="1"/>
  <c r="Q82" i="40" s="1"/>
  <c r="V78" i="40" s="1"/>
  <c r="V77" i="40" s="1"/>
  <c r="G157" i="40"/>
  <c r="X131" i="41"/>
  <c r="K145" i="39"/>
  <c r="U12" i="41"/>
  <c r="U11" i="41" s="1"/>
  <c r="X59" i="40"/>
  <c r="X89" i="40"/>
  <c r="V12" i="41"/>
  <c r="V11" i="41" s="1"/>
  <c r="X144" i="40"/>
  <c r="Q105" i="40"/>
  <c r="T103" i="40"/>
  <c r="O121" i="40"/>
  <c r="U118" i="40"/>
  <c r="T26" i="40"/>
  <c r="X42" i="40"/>
  <c r="V45" i="40"/>
  <c r="X80" i="40"/>
  <c r="M95" i="40"/>
  <c r="O95" i="40" s="1"/>
  <c r="T93" i="40" s="1"/>
  <c r="T92" i="40" s="1"/>
  <c r="X107" i="40"/>
  <c r="O40" i="41"/>
  <c r="X40" i="41" s="1"/>
  <c r="X48" i="40"/>
  <c r="X101" i="40"/>
  <c r="Q115" i="40"/>
  <c r="T114" i="40" s="1"/>
  <c r="O134" i="40"/>
  <c r="T133" i="40" s="1"/>
  <c r="O139" i="40"/>
  <c r="O149" i="40"/>
  <c r="X81" i="41"/>
  <c r="O18" i="40"/>
  <c r="U15" i="40" s="1"/>
  <c r="X100" i="40"/>
  <c r="M125" i="40"/>
  <c r="M131" i="40"/>
  <c r="U129" i="40" s="1"/>
  <c r="V83" i="41"/>
  <c r="V76" i="41" s="1"/>
  <c r="T26" i="41"/>
  <c r="X67" i="41"/>
  <c r="X121" i="40"/>
  <c r="X120" i="40"/>
  <c r="X17" i="40"/>
  <c r="O47" i="40"/>
  <c r="T45" i="40" s="1"/>
  <c r="Q116" i="40"/>
  <c r="U114" i="40" s="1"/>
  <c r="M120" i="40"/>
  <c r="T129" i="40"/>
  <c r="T128" i="40" s="1"/>
  <c r="M132" i="40"/>
  <c r="X132" i="40" s="1"/>
  <c r="X156" i="40"/>
  <c r="O58" i="41"/>
  <c r="V54" i="41" s="1"/>
  <c r="V53" i="41" s="1"/>
  <c r="V42" i="41" s="1"/>
  <c r="X142" i="41"/>
  <c r="X147" i="41"/>
  <c r="V40" i="40"/>
  <c r="X112" i="40"/>
  <c r="X130" i="40"/>
  <c r="X149" i="40"/>
  <c r="O69" i="41"/>
  <c r="X69" i="41" s="1"/>
  <c r="U42" i="41"/>
  <c r="X46" i="41"/>
  <c r="T119" i="41"/>
  <c r="O111" i="41"/>
  <c r="T109" i="41"/>
  <c r="T104" i="41" s="1"/>
  <c r="X93" i="41"/>
  <c r="X141" i="41"/>
  <c r="T144" i="41"/>
  <c r="T143" i="41" s="1"/>
  <c r="O146" i="41"/>
  <c r="X111" i="41"/>
  <c r="X20" i="41"/>
  <c r="T12" i="41"/>
  <c r="T11" i="41" s="1"/>
  <c r="X18" i="41"/>
  <c r="X14" i="41"/>
  <c r="O148" i="41"/>
  <c r="Q148" i="41" s="1"/>
  <c r="V144" i="41"/>
  <c r="M137" i="41"/>
  <c r="V133" i="41" s="1"/>
  <c r="K137" i="41"/>
  <c r="X156" i="41"/>
  <c r="X108" i="41"/>
  <c r="O141" i="41"/>
  <c r="U138" i="41"/>
  <c r="U119" i="41"/>
  <c r="Q163" i="41"/>
  <c r="V159" i="41"/>
  <c r="V143" i="41" s="1"/>
  <c r="O151" i="41"/>
  <c r="X151" i="41" s="1"/>
  <c r="X157" i="41"/>
  <c r="U143" i="41"/>
  <c r="O153" i="41"/>
  <c r="Q153" i="41" s="1"/>
  <c r="Q96" i="41"/>
  <c r="T94" i="41"/>
  <c r="Q36" i="41"/>
  <c r="V32" i="41"/>
  <c r="O142" i="41"/>
  <c r="Q142" i="41" s="1"/>
  <c r="V138" i="41"/>
  <c r="X36" i="41"/>
  <c r="O118" i="41"/>
  <c r="V114" i="41"/>
  <c r="V104" i="41" s="1"/>
  <c r="X148" i="41"/>
  <c r="X132" i="41"/>
  <c r="O152" i="41"/>
  <c r="X152" i="41" s="1"/>
  <c r="O101" i="41"/>
  <c r="T99" i="41"/>
  <c r="X118" i="41"/>
  <c r="X158" i="41"/>
  <c r="X101" i="41"/>
  <c r="M41" i="41"/>
  <c r="T42" i="41"/>
  <c r="T25" i="41" s="1"/>
  <c r="V15" i="40"/>
  <c r="V14" i="40" s="1"/>
  <c r="V13" i="40" s="1"/>
  <c r="V12" i="40" s="1"/>
  <c r="Q19" i="40"/>
  <c r="T14" i="40"/>
  <c r="T13" i="40" s="1"/>
  <c r="T12" i="40" s="1"/>
  <c r="M97" i="40"/>
  <c r="O97" i="40" s="1"/>
  <c r="V93" i="40" s="1"/>
  <c r="V92" i="40" s="1"/>
  <c r="Q75" i="40"/>
  <c r="X75" i="40"/>
  <c r="U72" i="40"/>
  <c r="X54" i="40"/>
  <c r="M54" i="40"/>
  <c r="O54" i="40" s="1"/>
  <c r="V50" i="40" s="1"/>
  <c r="U14" i="40"/>
  <c r="U13" i="40" s="1"/>
  <c r="U12" i="40" s="1"/>
  <c r="X19" i="40"/>
  <c r="X22" i="40"/>
  <c r="X23" i="40"/>
  <c r="I32" i="40"/>
  <c r="K32" i="40" s="1"/>
  <c r="M32" i="40" s="1"/>
  <c r="T30" i="40" s="1"/>
  <c r="X69" i="40"/>
  <c r="Q107" i="40"/>
  <c r="V103" i="40"/>
  <c r="T108" i="40"/>
  <c r="O110" i="40"/>
  <c r="X122" i="40"/>
  <c r="U123" i="40"/>
  <c r="M127" i="40"/>
  <c r="O155" i="40"/>
  <c r="T153" i="40"/>
  <c r="X24" i="40"/>
  <c r="K28" i="40"/>
  <c r="M28" i="40" s="1"/>
  <c r="U26" i="40" s="1"/>
  <c r="U25" i="40" s="1"/>
  <c r="K29" i="40"/>
  <c r="M29" i="40" s="1"/>
  <c r="V26" i="40" s="1"/>
  <c r="T39" i="40"/>
  <c r="X43" i="40"/>
  <c r="Q44" i="40"/>
  <c r="M53" i="40"/>
  <c r="T56" i="40"/>
  <c r="M64" i="40"/>
  <c r="O64" i="40" s="1"/>
  <c r="U61" i="40" s="1"/>
  <c r="M71" i="40"/>
  <c r="O71" i="40" s="1"/>
  <c r="Q71" i="40" s="1"/>
  <c r="V67" i="40" s="1"/>
  <c r="V66" i="40" s="1"/>
  <c r="O74" i="40"/>
  <c r="O90" i="40"/>
  <c r="U88" i="40" s="1"/>
  <c r="U87" i="40" s="1"/>
  <c r="X102" i="40"/>
  <c r="U103" i="40"/>
  <c r="X126" i="40"/>
  <c r="X170" i="40"/>
  <c r="Q170" i="40"/>
  <c r="T168" i="40"/>
  <c r="M111" i="40"/>
  <c r="O111" i="40" s="1"/>
  <c r="U108" i="40" s="1"/>
  <c r="O122" i="40"/>
  <c r="V118" i="40"/>
  <c r="K151" i="40"/>
  <c r="M151" i="40" s="1"/>
  <c r="M161" i="40"/>
  <c r="G162" i="40"/>
  <c r="M162" i="40" s="1"/>
  <c r="X171" i="40"/>
  <c r="Q171" i="40"/>
  <c r="U168" i="40"/>
  <c r="X49" i="40"/>
  <c r="X96" i="40"/>
  <c r="X33" i="40"/>
  <c r="I36" i="40"/>
  <c r="K36" i="40" s="1"/>
  <c r="M36" i="40" s="1"/>
  <c r="V30" i="40" s="1"/>
  <c r="X52" i="40"/>
  <c r="X60" i="40"/>
  <c r="O63" i="40"/>
  <c r="T61" i="40" s="1"/>
  <c r="K65" i="40"/>
  <c r="M70" i="40"/>
  <c r="O70" i="40" s="1"/>
  <c r="U67" i="40" s="1"/>
  <c r="U66" i="40" s="1"/>
  <c r="X76" i="40"/>
  <c r="X82" i="40"/>
  <c r="O91" i="40"/>
  <c r="V88" i="40" s="1"/>
  <c r="V87" i="40" s="1"/>
  <c r="M96" i="40"/>
  <c r="O96" i="40" s="1"/>
  <c r="U93" i="40" s="1"/>
  <c r="U92" i="40" s="1"/>
  <c r="X105" i="40"/>
  <c r="X106" i="40"/>
  <c r="X110" i="40"/>
  <c r="Q117" i="40"/>
  <c r="V114" i="40" s="1"/>
  <c r="O135" i="40"/>
  <c r="U133" i="40" s="1"/>
  <c r="X135" i="40"/>
  <c r="U153" i="40"/>
  <c r="O156" i="40"/>
  <c r="X166" i="40"/>
  <c r="X155" i="40"/>
  <c r="I157" i="40"/>
  <c r="M160" i="40"/>
  <c r="O165" i="40"/>
  <c r="Q165" i="40" s="1"/>
  <c r="O166" i="40"/>
  <c r="Q166" i="40" s="1"/>
  <c r="M167" i="40"/>
  <c r="O167" i="40" s="1"/>
  <c r="Q167" i="40" s="1"/>
  <c r="M172" i="40"/>
  <c r="O172" i="40" s="1"/>
  <c r="G136" i="40"/>
  <c r="M140" i="40"/>
  <c r="O140" i="40" s="1"/>
  <c r="K145" i="40"/>
  <c r="X145" i="40" s="1"/>
  <c r="I146" i="40"/>
  <c r="K150" i="40"/>
  <c r="M150" i="40" s="1"/>
  <c r="K141" i="40"/>
  <c r="M141" i="40" s="1"/>
  <c r="O141" i="40" s="1"/>
  <c r="Q141" i="40" s="1"/>
  <c r="M59" i="39"/>
  <c r="O59" i="39" s="1"/>
  <c r="X59" i="39" s="1"/>
  <c r="M58" i="39"/>
  <c r="M65" i="39"/>
  <c r="M64" i="39"/>
  <c r="M63" i="39"/>
  <c r="K60" i="39"/>
  <c r="M60" i="39" s="1"/>
  <c r="I150" i="39"/>
  <c r="X128" i="39"/>
  <c r="I146" i="39"/>
  <c r="H146" i="39"/>
  <c r="H145" i="39"/>
  <c r="K143" i="39"/>
  <c r="X39" i="39"/>
  <c r="M80" i="39"/>
  <c r="K81" i="39"/>
  <c r="M81" i="39" s="1"/>
  <c r="I126" i="39"/>
  <c r="I127" i="39" s="1"/>
  <c r="K49" i="39"/>
  <c r="M49" i="39" s="1"/>
  <c r="O49" i="39" s="1"/>
  <c r="M48" i="39"/>
  <c r="O48" i="39" s="1"/>
  <c r="M47" i="39"/>
  <c r="O47" i="39" s="1"/>
  <c r="T45" i="39" s="1"/>
  <c r="M46" i="39"/>
  <c r="I141" i="39"/>
  <c r="H141" i="39"/>
  <c r="H140" i="39"/>
  <c r="G140" i="39"/>
  <c r="G141" i="39" s="1"/>
  <c r="K139" i="39"/>
  <c r="K138" i="39"/>
  <c r="K23" i="39"/>
  <c r="M23" i="39" s="1"/>
  <c r="X23" i="39" s="1"/>
  <c r="I24" i="39"/>
  <c r="K24" i="39" s="1"/>
  <c r="M24" i="39" s="1"/>
  <c r="V20" i="39" s="1"/>
  <c r="M18" i="39"/>
  <c r="M17" i="39"/>
  <c r="K19" i="39"/>
  <c r="M42" i="39"/>
  <c r="K44" i="39"/>
  <c r="X90" i="40" l="1"/>
  <c r="X49" i="39"/>
  <c r="X95" i="40"/>
  <c r="X58" i="41"/>
  <c r="X48" i="39"/>
  <c r="T85" i="40"/>
  <c r="O132" i="40"/>
  <c r="V39" i="40"/>
  <c r="X111" i="40"/>
  <c r="V129" i="40"/>
  <c r="O125" i="40"/>
  <c r="T123" i="40"/>
  <c r="T113" i="40" s="1"/>
  <c r="V65" i="41"/>
  <c r="V64" i="41" s="1"/>
  <c r="O120" i="40"/>
  <c r="T118" i="40"/>
  <c r="X131" i="40"/>
  <c r="U37" i="41"/>
  <c r="U26" i="41" s="1"/>
  <c r="X134" i="40"/>
  <c r="K82" i="39"/>
  <c r="M146" i="39"/>
  <c r="K146" i="39"/>
  <c r="O131" i="40"/>
  <c r="V85" i="40"/>
  <c r="T152" i="40"/>
  <c r="U55" i="40"/>
  <c r="U113" i="40"/>
  <c r="X125" i="40"/>
  <c r="X18" i="40"/>
  <c r="X63" i="40"/>
  <c r="O41" i="41"/>
  <c r="X41" i="41" s="1"/>
  <c r="X47" i="39"/>
  <c r="T25" i="40"/>
  <c r="X116" i="40"/>
  <c r="O63" i="39"/>
  <c r="T61" i="39" s="1"/>
  <c r="X63" i="39"/>
  <c r="X141" i="40"/>
  <c r="X115" i="40"/>
  <c r="X47" i="40"/>
  <c r="U25" i="41"/>
  <c r="U24" i="41" s="1"/>
  <c r="V119" i="41"/>
  <c r="T76" i="41"/>
  <c r="T24" i="41" s="1"/>
  <c r="X153" i="41"/>
  <c r="X137" i="41"/>
  <c r="X150" i="40"/>
  <c r="M65" i="40"/>
  <c r="O65" i="40" s="1"/>
  <c r="V61" i="40" s="1"/>
  <c r="V55" i="40" s="1"/>
  <c r="X91" i="40"/>
  <c r="M146" i="40"/>
  <c r="V142" i="40" s="1"/>
  <c r="K146" i="40"/>
  <c r="Q172" i="40"/>
  <c r="V168" i="40"/>
  <c r="O160" i="40"/>
  <c r="X160" i="40" s="1"/>
  <c r="X172" i="40"/>
  <c r="X117" i="40"/>
  <c r="O161" i="40"/>
  <c r="X161" i="40" s="1"/>
  <c r="X70" i="40"/>
  <c r="U85" i="40"/>
  <c r="X71" i="40"/>
  <c r="X64" i="40"/>
  <c r="X28" i="40"/>
  <c r="X97" i="40"/>
  <c r="O151" i="40"/>
  <c r="Q151" i="40" s="1"/>
  <c r="V147" i="40"/>
  <c r="X29" i="40"/>
  <c r="X165" i="40"/>
  <c r="X151" i="40"/>
  <c r="Q74" i="40"/>
  <c r="T72" i="40"/>
  <c r="T55" i="40"/>
  <c r="T38" i="40" s="1"/>
  <c r="X167" i="40"/>
  <c r="O127" i="40"/>
  <c r="V123" i="40"/>
  <c r="V113" i="40" s="1"/>
  <c r="X74" i="40"/>
  <c r="U11" i="40"/>
  <c r="X31" i="40"/>
  <c r="O150" i="40"/>
  <c r="U147" i="40"/>
  <c r="U128" i="40" s="1"/>
  <c r="M136" i="40"/>
  <c r="O136" i="40" s="1"/>
  <c r="V133" i="40" s="1"/>
  <c r="V128" i="40" s="1"/>
  <c r="U152" i="40"/>
  <c r="X162" i="40"/>
  <c r="O162" i="40"/>
  <c r="Q162" i="40" s="1"/>
  <c r="X140" i="40"/>
  <c r="X35" i="40"/>
  <c r="O53" i="40"/>
  <c r="U50" i="40" s="1"/>
  <c r="U39" i="40" s="1"/>
  <c r="V25" i="40"/>
  <c r="V11" i="40" s="1"/>
  <c r="K157" i="40"/>
  <c r="M157" i="40" s="1"/>
  <c r="X127" i="40"/>
  <c r="V38" i="40"/>
  <c r="T11" i="40"/>
  <c r="O65" i="39"/>
  <c r="V61" i="39" s="1"/>
  <c r="X65" i="39"/>
  <c r="O64" i="39"/>
  <c r="U61" i="39" s="1"/>
  <c r="X58" i="39"/>
  <c r="O58" i="39"/>
  <c r="T56" i="39" s="1"/>
  <c r="U56" i="39"/>
  <c r="O60" i="39"/>
  <c r="V56" i="39" s="1"/>
  <c r="T142" i="39"/>
  <c r="M82" i="39"/>
  <c r="X145" i="39"/>
  <c r="O42" i="39"/>
  <c r="T40" i="39" s="1"/>
  <c r="M19" i="39"/>
  <c r="O19" i="39" s="1"/>
  <c r="V15" i="39" s="1"/>
  <c r="U20" i="39"/>
  <c r="M44" i="39"/>
  <c r="O44" i="39" s="1"/>
  <c r="V40" i="39" s="1"/>
  <c r="O17" i="39"/>
  <c r="T15" i="39" s="1"/>
  <c r="X24" i="39"/>
  <c r="O81" i="39"/>
  <c r="X81" i="39" s="1"/>
  <c r="O80" i="39"/>
  <c r="X80" i="39" s="1"/>
  <c r="U45" i="39"/>
  <c r="V45" i="39"/>
  <c r="Q49" i="39"/>
  <c r="K141" i="39"/>
  <c r="M141" i="39" s="1"/>
  <c r="O141" i="39" s="1"/>
  <c r="Q141" i="39" s="1"/>
  <c r="M139" i="39"/>
  <c r="O139" i="39" s="1"/>
  <c r="K140" i="39"/>
  <c r="M140" i="39" s="1"/>
  <c r="O140" i="39" s="1"/>
  <c r="M52" i="39"/>
  <c r="M54" i="39"/>
  <c r="M69" i="39"/>
  <c r="K71" i="39"/>
  <c r="M75" i="39"/>
  <c r="M74" i="39"/>
  <c r="O74" i="39" s="1"/>
  <c r="K76" i="39"/>
  <c r="M76" i="39" s="1"/>
  <c r="O76" i="39" s="1"/>
  <c r="X76" i="39" s="1"/>
  <c r="X64" i="39" l="1"/>
  <c r="X136" i="40"/>
  <c r="X60" i="39"/>
  <c r="V37" i="41"/>
  <c r="V26" i="41" s="1"/>
  <c r="V25" i="41" s="1"/>
  <c r="V24" i="41" s="1"/>
  <c r="T37" i="40"/>
  <c r="U38" i="40"/>
  <c r="U37" i="40" s="1"/>
  <c r="O157" i="40"/>
  <c r="Q157" i="40" s="1"/>
  <c r="V153" i="40"/>
  <c r="V152" i="40" s="1"/>
  <c r="V37" i="40" s="1"/>
  <c r="X53" i="40"/>
  <c r="X157" i="40"/>
  <c r="X146" i="40"/>
  <c r="X65" i="40"/>
  <c r="O54" i="39"/>
  <c r="V50" i="39" s="1"/>
  <c r="V39" i="39" s="1"/>
  <c r="O52" i="39"/>
  <c r="T50" i="39" s="1"/>
  <c r="T39" i="39" s="1"/>
  <c r="X42" i="39"/>
  <c r="Q74" i="39"/>
  <c r="T72" i="39"/>
  <c r="X19" i="39"/>
  <c r="U142" i="39"/>
  <c r="X74" i="39"/>
  <c r="X146" i="39"/>
  <c r="T78" i="39"/>
  <c r="T77" i="39" s="1"/>
  <c r="U78" i="39"/>
  <c r="U77" i="39" s="1"/>
  <c r="O82" i="39"/>
  <c r="O69" i="39"/>
  <c r="T67" i="39" s="1"/>
  <c r="X44" i="39"/>
  <c r="X17" i="39"/>
  <c r="X139" i="39"/>
  <c r="X140" i="39"/>
  <c r="X141" i="39"/>
  <c r="K95" i="39"/>
  <c r="M95" i="39" s="1"/>
  <c r="M100" i="39"/>
  <c r="O100" i="39" s="1"/>
  <c r="Q100" i="39" s="1"/>
  <c r="K102" i="39"/>
  <c r="M105" i="39"/>
  <c r="O105" i="39" s="1"/>
  <c r="K107" i="39"/>
  <c r="H107" i="39"/>
  <c r="H106" i="39"/>
  <c r="K111" i="39"/>
  <c r="M111" i="39" s="1"/>
  <c r="X111" i="39" s="1"/>
  <c r="K110" i="39"/>
  <c r="I112" i="39"/>
  <c r="K112" i="39" s="1"/>
  <c r="I151" i="39"/>
  <c r="I157" i="39"/>
  <c r="K162" i="39"/>
  <c r="G160" i="39"/>
  <c r="M160" i="39" s="1"/>
  <c r="M170" i="39"/>
  <c r="O170" i="39" s="1"/>
  <c r="T168" i="39" s="1"/>
  <c r="I172" i="39"/>
  <c r="M166" i="39"/>
  <c r="O166" i="39" s="1"/>
  <c r="M165" i="39"/>
  <c r="O165" i="39" s="1"/>
  <c r="X165" i="39" s="1"/>
  <c r="I167" i="39"/>
  <c r="I122" i="39"/>
  <c r="K122" i="39" s="1"/>
  <c r="K121" i="39"/>
  <c r="M121" i="39" s="1"/>
  <c r="O121" i="39" s="1"/>
  <c r="K120" i="39"/>
  <c r="M120" i="39" s="1"/>
  <c r="O120" i="39" s="1"/>
  <c r="K127" i="39"/>
  <c r="M127" i="39" s="1"/>
  <c r="O127" i="39" s="1"/>
  <c r="X152" i="39"/>
  <c r="X54" i="39" l="1"/>
  <c r="X52" i="39"/>
  <c r="Q82" i="39"/>
  <c r="V78" i="39" s="1"/>
  <c r="V77" i="39" s="1"/>
  <c r="X82" i="39"/>
  <c r="Q146" i="39"/>
  <c r="V142" i="39"/>
  <c r="X100" i="39"/>
  <c r="K96" i="39"/>
  <c r="M96" i="39" s="1"/>
  <c r="O96" i="39" s="1"/>
  <c r="U93" i="39" s="1"/>
  <c r="Q105" i="39"/>
  <c r="T103" i="39"/>
  <c r="O95" i="39"/>
  <c r="T93" i="39" s="1"/>
  <c r="X105" i="39"/>
  <c r="T98" i="39"/>
  <c r="Q170" i="39"/>
  <c r="M102" i="39"/>
  <c r="O102" i="39" s="1"/>
  <c r="K97" i="39"/>
  <c r="M97" i="39" s="1"/>
  <c r="O97" i="39" s="1"/>
  <c r="V93" i="39" s="1"/>
  <c r="X69" i="39"/>
  <c r="M112" i="39"/>
  <c r="O112" i="39" s="1"/>
  <c r="M122" i="39"/>
  <c r="X122" i="39" s="1"/>
  <c r="U118" i="39"/>
  <c r="M167" i="39"/>
  <c r="O167" i="39" s="1"/>
  <c r="X170" i="39"/>
  <c r="V123" i="39"/>
  <c r="X127" i="39"/>
  <c r="X121" i="39"/>
  <c r="X120" i="39"/>
  <c r="X166" i="39"/>
  <c r="X96" i="39" l="1"/>
  <c r="X102" i="39"/>
  <c r="X95" i="39"/>
  <c r="X112" i="39"/>
  <c r="X97" i="39"/>
  <c r="O122" i="39"/>
  <c r="V118" i="39"/>
  <c r="X167" i="39"/>
  <c r="H162" i="39" l="1"/>
  <c r="H161" i="39"/>
  <c r="M159" i="39"/>
  <c r="K154" i="39"/>
  <c r="K155" i="39" s="1"/>
  <c r="H151" i="39"/>
  <c r="H150" i="39"/>
  <c r="K148" i="39"/>
  <c r="G135" i="39"/>
  <c r="G136" i="39" s="1"/>
  <c r="M134" i="39"/>
  <c r="O134" i="39" s="1"/>
  <c r="K132" i="39"/>
  <c r="K131" i="39"/>
  <c r="M131" i="39" s="1"/>
  <c r="K130" i="39"/>
  <c r="O117" i="39"/>
  <c r="O116" i="39"/>
  <c r="O115" i="39"/>
  <c r="Q115" i="39" s="1"/>
  <c r="X113" i="39"/>
  <c r="H112" i="39"/>
  <c r="H111" i="39"/>
  <c r="K109" i="39"/>
  <c r="I107" i="39"/>
  <c r="M107" i="39" s="1"/>
  <c r="M104" i="39"/>
  <c r="H102" i="39"/>
  <c r="H101" i="39"/>
  <c r="M99" i="39"/>
  <c r="H97" i="39"/>
  <c r="H96" i="39"/>
  <c r="M94" i="39"/>
  <c r="X92" i="39"/>
  <c r="M91" i="39"/>
  <c r="O91" i="39" s="1"/>
  <c r="V88" i="39" s="1"/>
  <c r="V87" i="39" s="1"/>
  <c r="M90" i="39"/>
  <c r="M89" i="39"/>
  <c r="O89" i="39" s="1"/>
  <c r="T88" i="39" s="1"/>
  <c r="T87" i="39" s="1"/>
  <c r="X87" i="39"/>
  <c r="X86" i="39"/>
  <c r="X85" i="39"/>
  <c r="H76" i="39"/>
  <c r="H75" i="39"/>
  <c r="M73" i="39"/>
  <c r="H71" i="39"/>
  <c r="H70" i="39"/>
  <c r="I70" i="39"/>
  <c r="M68" i="39"/>
  <c r="X66" i="39"/>
  <c r="X55" i="39"/>
  <c r="M51" i="39"/>
  <c r="H44" i="39"/>
  <c r="H43" i="39"/>
  <c r="X38" i="39"/>
  <c r="X37" i="39"/>
  <c r="O35" i="39"/>
  <c r="I36" i="39" s="1"/>
  <c r="K36" i="39" s="1"/>
  <c r="M36" i="39" s="1"/>
  <c r="V30" i="39" s="1"/>
  <c r="O33" i="39"/>
  <c r="I34" i="39" s="1"/>
  <c r="K34" i="39" s="1"/>
  <c r="M34" i="39" s="1"/>
  <c r="U30" i="39" s="1"/>
  <c r="O31" i="39"/>
  <c r="I29" i="39"/>
  <c r="K29" i="39" s="1"/>
  <c r="M29" i="39" s="1"/>
  <c r="V26" i="39" s="1"/>
  <c r="I28" i="39"/>
  <c r="K28" i="39" s="1"/>
  <c r="M28" i="39" s="1"/>
  <c r="U26" i="39" s="1"/>
  <c r="K27" i="39"/>
  <c r="M27" i="39" s="1"/>
  <c r="T26" i="39" s="1"/>
  <c r="X25" i="39"/>
  <c r="H24" i="39"/>
  <c r="H23" i="39"/>
  <c r="K21" i="39"/>
  <c r="H19" i="39"/>
  <c r="H18" i="39"/>
  <c r="M16" i="39"/>
  <c r="X14" i="39"/>
  <c r="X13" i="39"/>
  <c r="X12" i="39"/>
  <c r="X11" i="39"/>
  <c r="M135" i="39" l="1"/>
  <c r="O135" i="39" s="1"/>
  <c r="X135" i="39" s="1"/>
  <c r="O107" i="39"/>
  <c r="V103" i="39" s="1"/>
  <c r="X107" i="39"/>
  <c r="T66" i="39"/>
  <c r="T55" i="39" s="1"/>
  <c r="U129" i="39"/>
  <c r="O131" i="39"/>
  <c r="U25" i="39"/>
  <c r="X28" i="39"/>
  <c r="X89" i="39"/>
  <c r="X134" i="39"/>
  <c r="T133" i="39"/>
  <c r="M172" i="39"/>
  <c r="O172" i="39" s="1"/>
  <c r="M171" i="39"/>
  <c r="X27" i="39"/>
  <c r="Q117" i="39"/>
  <c r="V114" i="39" s="1"/>
  <c r="V113" i="39" s="1"/>
  <c r="X131" i="39"/>
  <c r="X29" i="39"/>
  <c r="G71" i="39"/>
  <c r="M130" i="39"/>
  <c r="K22" i="39"/>
  <c r="V25" i="39"/>
  <c r="I32" i="39"/>
  <c r="K32" i="39" s="1"/>
  <c r="M32" i="39" s="1"/>
  <c r="T30" i="39" s="1"/>
  <c r="T25" i="39" s="1"/>
  <c r="X35" i="39"/>
  <c r="X91" i="39"/>
  <c r="M110" i="39"/>
  <c r="X110" i="39" s="1"/>
  <c r="M136" i="39"/>
  <c r="O136" i="39" s="1"/>
  <c r="V133" i="39" s="1"/>
  <c r="M155" i="39"/>
  <c r="I71" i="39"/>
  <c r="O90" i="39"/>
  <c r="U88" i="39" s="1"/>
  <c r="U87" i="39" s="1"/>
  <c r="X115" i="39"/>
  <c r="T114" i="39"/>
  <c r="X33" i="39"/>
  <c r="Q116" i="39"/>
  <c r="U114" i="39" s="1"/>
  <c r="K125" i="39"/>
  <c r="K126" i="39"/>
  <c r="M126" i="39" s="1"/>
  <c r="O126" i="39" s="1"/>
  <c r="K149" i="39"/>
  <c r="G150" i="39"/>
  <c r="G161" i="39"/>
  <c r="M161" i="39" s="1"/>
  <c r="U133" i="39"/>
  <c r="M132" i="39"/>
  <c r="G156" i="39"/>
  <c r="K156" i="39" s="1"/>
  <c r="K133" i="37"/>
  <c r="K46" i="37"/>
  <c r="I123" i="37"/>
  <c r="I61" i="37"/>
  <c r="X116" i="39" l="1"/>
  <c r="O155" i="39"/>
  <c r="T153" i="39"/>
  <c r="T152" i="39" s="1"/>
  <c r="M156" i="39"/>
  <c r="K150" i="39"/>
  <c r="M150" i="39" s="1"/>
  <c r="U147" i="39" s="1"/>
  <c r="U128" i="39" s="1"/>
  <c r="M71" i="39"/>
  <c r="O71" i="39" s="1"/>
  <c r="X155" i="39"/>
  <c r="V129" i="39"/>
  <c r="O132" i="39"/>
  <c r="T129" i="39"/>
  <c r="O130" i="39"/>
  <c r="V168" i="39"/>
  <c r="Q172" i="39"/>
  <c r="X172" i="39"/>
  <c r="T108" i="39"/>
  <c r="O110" i="39"/>
  <c r="M70" i="39"/>
  <c r="X136" i="39"/>
  <c r="X31" i="39"/>
  <c r="X117" i="39"/>
  <c r="X130" i="39"/>
  <c r="O171" i="39"/>
  <c r="T118" i="39"/>
  <c r="X90" i="39"/>
  <c r="Q76" i="39"/>
  <c r="V72" i="39" s="1"/>
  <c r="O160" i="39"/>
  <c r="X160" i="39" s="1"/>
  <c r="X126" i="39"/>
  <c r="O111" i="39"/>
  <c r="U108" i="39" s="1"/>
  <c r="O75" i="39"/>
  <c r="G151" i="39"/>
  <c r="G157" i="39"/>
  <c r="K157" i="39" s="1"/>
  <c r="M149" i="39"/>
  <c r="T147" i="39" s="1"/>
  <c r="Q112" i="39"/>
  <c r="V108" i="39" s="1"/>
  <c r="M53" i="39"/>
  <c r="G162" i="39"/>
  <c r="M162" i="39" s="1"/>
  <c r="M125" i="39"/>
  <c r="M101" i="39"/>
  <c r="M43" i="39"/>
  <c r="Q165" i="39"/>
  <c r="T92" i="39"/>
  <c r="X132" i="39"/>
  <c r="M106" i="39"/>
  <c r="M22" i="39"/>
  <c r="T20" i="39" s="1"/>
  <c r="I55" i="37"/>
  <c r="I66" i="37"/>
  <c r="I84" i="37"/>
  <c r="I42" i="37"/>
  <c r="X156" i="39" l="1"/>
  <c r="U153" i="39"/>
  <c r="X150" i="39"/>
  <c r="T128" i="39"/>
  <c r="X149" i="39"/>
  <c r="O162" i="39"/>
  <c r="X162" i="39" s="1"/>
  <c r="M157" i="39"/>
  <c r="X71" i="39"/>
  <c r="K151" i="39"/>
  <c r="M151" i="39" s="1"/>
  <c r="O70" i="39"/>
  <c r="U67" i="39" s="1"/>
  <c r="U66" i="39" s="1"/>
  <c r="X22" i="39"/>
  <c r="U72" i="39"/>
  <c r="Q75" i="39"/>
  <c r="X75" i="39"/>
  <c r="T85" i="39"/>
  <c r="O149" i="39"/>
  <c r="T123" i="39"/>
  <c r="T113" i="39" s="1"/>
  <c r="O125" i="39"/>
  <c r="U168" i="39"/>
  <c r="U152" i="39" s="1"/>
  <c r="X171" i="39"/>
  <c r="Q171" i="39"/>
  <c r="X125" i="39"/>
  <c r="Q44" i="39"/>
  <c r="O106" i="39"/>
  <c r="X106" i="39" s="1"/>
  <c r="Q19" i="39"/>
  <c r="Q166" i="39"/>
  <c r="O53" i="39"/>
  <c r="U50" i="39" s="1"/>
  <c r="O18" i="39"/>
  <c r="U123" i="39"/>
  <c r="U113" i="39" s="1"/>
  <c r="Q167" i="39"/>
  <c r="O156" i="39"/>
  <c r="Q71" i="39"/>
  <c r="V67" i="39" s="1"/>
  <c r="V66" i="39" s="1"/>
  <c r="V55" i="39" s="1"/>
  <c r="V38" i="39" s="1"/>
  <c r="Q107" i="39"/>
  <c r="Q102" i="39"/>
  <c r="V98" i="39" s="1"/>
  <c r="V92" i="39" s="1"/>
  <c r="T14" i="39"/>
  <c r="T13" i="39" s="1"/>
  <c r="T12" i="39" s="1"/>
  <c r="T11" i="39" s="1"/>
  <c r="O43" i="39"/>
  <c r="U40" i="39" s="1"/>
  <c r="O101" i="39"/>
  <c r="O161" i="39"/>
  <c r="X161" i="39" s="1"/>
  <c r="O150" i="39"/>
  <c r="I129" i="37"/>
  <c r="I17" i="37"/>
  <c r="Q162" i="39" l="1"/>
  <c r="U55" i="39"/>
  <c r="U39" i="39"/>
  <c r="O157" i="39"/>
  <c r="Q157" i="39" s="1"/>
  <c r="V153" i="39"/>
  <c r="V152" i="39" s="1"/>
  <c r="X157" i="39"/>
  <c r="X53" i="39"/>
  <c r="X151" i="39"/>
  <c r="O151" i="39"/>
  <c r="Q151" i="39" s="1"/>
  <c r="V147" i="39"/>
  <c r="V128" i="39" s="1"/>
  <c r="Q106" i="39"/>
  <c r="U103" i="39"/>
  <c r="U85" i="39" s="1"/>
  <c r="X70" i="39"/>
  <c r="X43" i="39"/>
  <c r="U98" i="39"/>
  <c r="U92" i="39" s="1"/>
  <c r="Q101" i="39"/>
  <c r="X18" i="39"/>
  <c r="U15" i="39"/>
  <c r="U14" i="39" s="1"/>
  <c r="U13" i="39" s="1"/>
  <c r="U12" i="39" s="1"/>
  <c r="U11" i="39" s="1"/>
  <c r="X101" i="39"/>
  <c r="T38" i="39"/>
  <c r="T37" i="39" s="1"/>
  <c r="V85" i="39"/>
  <c r="V14" i="39"/>
  <c r="V13" i="39" s="1"/>
  <c r="V12" i="39" s="1"/>
  <c r="V11" i="39" s="1"/>
  <c r="X70" i="37"/>
  <c r="Q53" i="37"/>
  <c r="X112" i="37"/>
  <c r="X97" i="37"/>
  <c r="X69" i="37"/>
  <c r="X38" i="37"/>
  <c r="X51" i="37"/>
  <c r="X39" i="37"/>
  <c r="X126" i="37"/>
  <c r="K137" i="37"/>
  <c r="J137" i="37"/>
  <c r="I135" i="37"/>
  <c r="I136" i="37" s="1"/>
  <c r="H137" i="37"/>
  <c r="H136" i="37"/>
  <c r="I48" i="37"/>
  <c r="I50" i="37" s="1"/>
  <c r="M46" i="37"/>
  <c r="G47" i="37" s="1"/>
  <c r="K50" i="37"/>
  <c r="J50" i="37"/>
  <c r="H50" i="37"/>
  <c r="H49" i="37"/>
  <c r="K111" i="37"/>
  <c r="J111" i="37"/>
  <c r="H111" i="37"/>
  <c r="H110" i="37"/>
  <c r="I109" i="37"/>
  <c r="I111" i="37" s="1"/>
  <c r="K108" i="37"/>
  <c r="G109" i="37" s="1"/>
  <c r="G110" i="37" s="1"/>
  <c r="G111" i="37" s="1"/>
  <c r="K106" i="37"/>
  <c r="I104" i="37"/>
  <c r="I106" i="37" s="1"/>
  <c r="K24" i="37"/>
  <c r="J24" i="37"/>
  <c r="H24" i="37"/>
  <c r="H23" i="37"/>
  <c r="I22" i="37"/>
  <c r="I24" i="37" s="1"/>
  <c r="K142" i="37"/>
  <c r="J142" i="37"/>
  <c r="I140" i="37"/>
  <c r="I142" i="37" s="1"/>
  <c r="H142" i="37"/>
  <c r="H141" i="37"/>
  <c r="K125" i="37"/>
  <c r="J125" i="37"/>
  <c r="I125" i="37"/>
  <c r="H125" i="37"/>
  <c r="H124" i="37"/>
  <c r="G119" i="37"/>
  <c r="G120" i="37" s="1"/>
  <c r="X37" i="37"/>
  <c r="I29" i="37"/>
  <c r="I28" i="37"/>
  <c r="K86" i="37"/>
  <c r="J86" i="37"/>
  <c r="H86" i="37"/>
  <c r="H85" i="37"/>
  <c r="I86" i="37"/>
  <c r="K44" i="37"/>
  <c r="J44" i="37"/>
  <c r="H44" i="37"/>
  <c r="H43" i="37"/>
  <c r="I43" i="37"/>
  <c r="K81" i="37"/>
  <c r="J81" i="37"/>
  <c r="I79" i="37"/>
  <c r="I81" i="37" s="1"/>
  <c r="H81" i="37"/>
  <c r="H80" i="37"/>
  <c r="K68" i="37"/>
  <c r="J68" i="37"/>
  <c r="I68" i="37"/>
  <c r="H68" i="37"/>
  <c r="H67" i="37"/>
  <c r="J106" i="37"/>
  <c r="H106" i="37"/>
  <c r="H105" i="37"/>
  <c r="K63" i="37"/>
  <c r="J63" i="37"/>
  <c r="I62" i="37"/>
  <c r="H63" i="37"/>
  <c r="H62" i="37"/>
  <c r="K103" i="37"/>
  <c r="K57" i="37"/>
  <c r="J57" i="37"/>
  <c r="I57" i="37"/>
  <c r="M54" i="37"/>
  <c r="H57" i="37"/>
  <c r="H56" i="37"/>
  <c r="K131" i="37"/>
  <c r="J131" i="37"/>
  <c r="I130" i="37"/>
  <c r="H131" i="37"/>
  <c r="H130" i="37"/>
  <c r="K96" i="37"/>
  <c r="J96" i="37"/>
  <c r="I94" i="37"/>
  <c r="I96" i="37" s="1"/>
  <c r="H96" i="37"/>
  <c r="H95" i="37"/>
  <c r="K91" i="37"/>
  <c r="J91" i="37"/>
  <c r="I89" i="37"/>
  <c r="H91" i="37"/>
  <c r="H90" i="37"/>
  <c r="I49" i="37" l="1"/>
  <c r="U38" i="39"/>
  <c r="U37" i="39" s="1"/>
  <c r="V37" i="39"/>
  <c r="K47" i="37"/>
  <c r="G48" i="37" s="1"/>
  <c r="I137" i="37"/>
  <c r="I23" i="37"/>
  <c r="G104" i="37"/>
  <c r="G105" i="37" s="1"/>
  <c r="I105" i="37"/>
  <c r="I110" i="37"/>
  <c r="O111" i="37"/>
  <c r="M110" i="37"/>
  <c r="K109" i="37"/>
  <c r="I124" i="37"/>
  <c r="I67" i="37"/>
  <c r="I56" i="37"/>
  <c r="I141" i="37"/>
  <c r="I63" i="37"/>
  <c r="I80" i="37"/>
  <c r="I44" i="37"/>
  <c r="I85" i="37"/>
  <c r="I95" i="37"/>
  <c r="I91" i="37"/>
  <c r="I90" i="37"/>
  <c r="I131" i="37"/>
  <c r="J19" i="37"/>
  <c r="H19" i="37"/>
  <c r="H18" i="37"/>
  <c r="M105" i="37" l="1"/>
  <c r="O105" i="37" s="1"/>
  <c r="M109" i="37"/>
  <c r="T107" i="37" s="1"/>
  <c r="U107" i="37"/>
  <c r="K104" i="37"/>
  <c r="G106" i="37"/>
  <c r="O106" i="37" s="1"/>
  <c r="Q106" i="37" s="1"/>
  <c r="Q111" i="37"/>
  <c r="X111" i="37" s="1"/>
  <c r="O110" i="37"/>
  <c r="X110" i="37" s="1"/>
  <c r="M53" i="37"/>
  <c r="K21" i="37"/>
  <c r="G22" i="37" s="1"/>
  <c r="G23" i="37" s="1"/>
  <c r="G24" i="37" s="1"/>
  <c r="K27" i="37"/>
  <c r="M27" i="37" s="1"/>
  <c r="K128" i="37"/>
  <c r="G129" i="37" s="1"/>
  <c r="O31" i="37"/>
  <c r="I32" i="37" s="1"/>
  <c r="K32" i="37" s="1"/>
  <c r="M32" i="37" s="1"/>
  <c r="X11" i="37"/>
  <c r="X109" i="37" l="1"/>
  <c r="M104" i="37"/>
  <c r="X104" i="37"/>
  <c r="G55" i="37"/>
  <c r="G56" i="37" s="1"/>
  <c r="Q54" i="37"/>
  <c r="V102" i="37"/>
  <c r="G130" i="37"/>
  <c r="K129" i="37"/>
  <c r="K139" i="37"/>
  <c r="G140" i="37" s="1"/>
  <c r="G141" i="37" s="1"/>
  <c r="G142" i="37" s="1"/>
  <c r="M133" i="37"/>
  <c r="G134" i="37" s="1"/>
  <c r="K122" i="37"/>
  <c r="G123" i="37" s="1"/>
  <c r="M120" i="37"/>
  <c r="M119" i="37"/>
  <c r="O119" i="37" s="1"/>
  <c r="U117" i="37" s="1"/>
  <c r="M118" i="37"/>
  <c r="K116" i="37"/>
  <c r="K115" i="37"/>
  <c r="K114" i="37"/>
  <c r="O101" i="37"/>
  <c r="O100" i="37"/>
  <c r="Q100" i="37" s="1"/>
  <c r="U98" i="37" s="1"/>
  <c r="O99" i="37"/>
  <c r="K93" i="37"/>
  <c r="G94" i="37" s="1"/>
  <c r="G95" i="37" s="1"/>
  <c r="G96" i="37" s="1"/>
  <c r="M88" i="37"/>
  <c r="G89" i="37" s="1"/>
  <c r="M83" i="37"/>
  <c r="G84" i="37" s="1"/>
  <c r="M78" i="37"/>
  <c r="G79" i="37" s="1"/>
  <c r="X76" i="37"/>
  <c r="M75" i="37"/>
  <c r="O75" i="37" s="1"/>
  <c r="M74" i="37"/>
  <c r="M73" i="37"/>
  <c r="X71" i="37"/>
  <c r="M65" i="37"/>
  <c r="G66" i="37" s="1"/>
  <c r="G67" i="37" s="1"/>
  <c r="G68" i="37" s="1"/>
  <c r="M60" i="37"/>
  <c r="G61" i="37" s="1"/>
  <c r="X58" i="37"/>
  <c r="M41" i="37"/>
  <c r="G42" i="37" s="1"/>
  <c r="G62" i="37" l="1"/>
  <c r="G63" i="37" s="1"/>
  <c r="O63" i="37" s="1"/>
  <c r="K55" i="37"/>
  <c r="M55" i="37" s="1"/>
  <c r="X55" i="37" s="1"/>
  <c r="K134" i="37"/>
  <c r="G135" i="37" s="1"/>
  <c r="G136" i="37" s="1"/>
  <c r="U102" i="37"/>
  <c r="X105" i="37"/>
  <c r="G57" i="37"/>
  <c r="M56" i="37"/>
  <c r="X106" i="37"/>
  <c r="G49" i="37"/>
  <c r="K48" i="37"/>
  <c r="K123" i="37"/>
  <c r="M123" i="37" s="1"/>
  <c r="G124" i="37"/>
  <c r="G43" i="37"/>
  <c r="K42" i="37"/>
  <c r="G85" i="37"/>
  <c r="K84" i="37"/>
  <c r="M84" i="37" s="1"/>
  <c r="G80" i="37"/>
  <c r="G81" i="37" s="1"/>
  <c r="O81" i="37" s="1"/>
  <c r="K79" i="37"/>
  <c r="G90" i="37"/>
  <c r="G91" i="37" s="1"/>
  <c r="O91" i="37" s="1"/>
  <c r="K89" i="37"/>
  <c r="G131" i="37"/>
  <c r="M130" i="37"/>
  <c r="M129" i="37"/>
  <c r="X129" i="37" s="1"/>
  <c r="O74" i="37"/>
  <c r="U72" i="37" s="1"/>
  <c r="U71" i="37" s="1"/>
  <c r="K66" i="37"/>
  <c r="M66" i="37" s="1"/>
  <c r="T64" i="37" s="1"/>
  <c r="M67" i="37"/>
  <c r="O73" i="37"/>
  <c r="T72" i="37" s="1"/>
  <c r="T71" i="37" s="1"/>
  <c r="O96" i="37"/>
  <c r="Q96" i="37" s="1"/>
  <c r="V92" i="37" s="1"/>
  <c r="X119" i="37"/>
  <c r="M115" i="37"/>
  <c r="U113" i="37" s="1"/>
  <c r="X100" i="37"/>
  <c r="T102" i="37"/>
  <c r="O142" i="37"/>
  <c r="Q142" i="37" s="1"/>
  <c r="M141" i="37"/>
  <c r="O141" i="37" s="1"/>
  <c r="K140" i="37"/>
  <c r="M140" i="37" s="1"/>
  <c r="K94" i="37"/>
  <c r="Q99" i="37"/>
  <c r="T98" i="37" s="1"/>
  <c r="Q101" i="37"/>
  <c r="V98" i="37" s="1"/>
  <c r="M114" i="37"/>
  <c r="T113" i="37" s="1"/>
  <c r="M116" i="37"/>
  <c r="V113" i="37" s="1"/>
  <c r="O118" i="37"/>
  <c r="T117" i="37" s="1"/>
  <c r="O120" i="37"/>
  <c r="V117" i="37" s="1"/>
  <c r="M95" i="37"/>
  <c r="M62" i="37"/>
  <c r="K61" i="37"/>
  <c r="O68" i="37"/>
  <c r="V72" i="37"/>
  <c r="V71" i="37" s="1"/>
  <c r="K135" i="37" l="1"/>
  <c r="M135" i="37" s="1"/>
  <c r="T132" i="37" s="1"/>
  <c r="G137" i="37"/>
  <c r="O137" i="37" s="1"/>
  <c r="M136" i="37"/>
  <c r="M90" i="37"/>
  <c r="O90" i="37" s="1"/>
  <c r="U87" i="37" s="1"/>
  <c r="M48" i="37"/>
  <c r="T45" i="37" s="1"/>
  <c r="G50" i="37"/>
  <c r="O50" i="37" s="1"/>
  <c r="M49" i="37"/>
  <c r="X73" i="37"/>
  <c r="M124" i="37"/>
  <c r="O124" i="37" s="1"/>
  <c r="U121" i="37" s="1"/>
  <c r="U112" i="37" s="1"/>
  <c r="G125" i="37"/>
  <c r="O125" i="37" s="1"/>
  <c r="Q125" i="37" s="1"/>
  <c r="V121" i="37" s="1"/>
  <c r="V112" i="37" s="1"/>
  <c r="M79" i="37"/>
  <c r="X79" i="37" s="1"/>
  <c r="T82" i="37"/>
  <c r="M42" i="37"/>
  <c r="T40" i="37" s="1"/>
  <c r="Q81" i="37"/>
  <c r="X81" i="37" s="1"/>
  <c r="M80" i="37"/>
  <c r="O80" i="37" s="1"/>
  <c r="G86" i="37"/>
  <c r="O86" i="37" s="1"/>
  <c r="M85" i="37"/>
  <c r="G44" i="37"/>
  <c r="O44" i="37" s="1"/>
  <c r="M43" i="37"/>
  <c r="X74" i="37"/>
  <c r="O57" i="37"/>
  <c r="X66" i="37"/>
  <c r="X99" i="37"/>
  <c r="X115" i="37"/>
  <c r="T97" i="37"/>
  <c r="X101" i="37"/>
  <c r="X96" i="37"/>
  <c r="X120" i="37"/>
  <c r="U138" i="37"/>
  <c r="T121" i="37"/>
  <c r="T112" i="37" s="1"/>
  <c r="M94" i="37"/>
  <c r="T92" i="37" s="1"/>
  <c r="T138" i="37"/>
  <c r="V138" i="37"/>
  <c r="V107" i="37"/>
  <c r="V97" i="37" s="1"/>
  <c r="U97" i="37"/>
  <c r="X116" i="37"/>
  <c r="X114" i="37"/>
  <c r="O95" i="37"/>
  <c r="U92" i="37" s="1"/>
  <c r="X118" i="37"/>
  <c r="Q91" i="37"/>
  <c r="V87" i="37" s="1"/>
  <c r="O62" i="37"/>
  <c r="U59" i="37" s="1"/>
  <c r="U58" i="37" s="1"/>
  <c r="X75" i="37"/>
  <c r="Q68" i="37"/>
  <c r="V64" i="37" s="1"/>
  <c r="M61" i="37"/>
  <c r="T59" i="37" s="1"/>
  <c r="T58" i="37" s="1"/>
  <c r="O67" i="37"/>
  <c r="U64" i="37" s="1"/>
  <c r="M89" i="37"/>
  <c r="T87" i="37" s="1"/>
  <c r="Q63" i="37"/>
  <c r="V59" i="37" s="1"/>
  <c r="V58" i="37" s="1"/>
  <c r="O56" i="37"/>
  <c r="U52" i="37" s="1"/>
  <c r="X42" i="37" l="1"/>
  <c r="X56" i="37"/>
  <c r="Q57" i="37"/>
  <c r="V52" i="37" s="1"/>
  <c r="V51" i="37" s="1"/>
  <c r="T39" i="37"/>
  <c r="X135" i="37"/>
  <c r="T77" i="37"/>
  <c r="T76" i="37" s="1"/>
  <c r="T69" i="37" s="1"/>
  <c r="U51" i="37"/>
  <c r="O136" i="37"/>
  <c r="U132" i="37" s="1"/>
  <c r="Q137" i="37"/>
  <c r="V132" i="37" s="1"/>
  <c r="X48" i="37"/>
  <c r="Q50" i="37"/>
  <c r="V45" i="37" s="1"/>
  <c r="O49" i="37"/>
  <c r="U45" i="37" s="1"/>
  <c r="V77" i="37"/>
  <c r="X80" i="37"/>
  <c r="U77" i="37"/>
  <c r="O43" i="37"/>
  <c r="U40" i="37" s="1"/>
  <c r="O85" i="37"/>
  <c r="U82" i="37" s="1"/>
  <c r="X61" i="37"/>
  <c r="X84" i="37"/>
  <c r="Q44" i="37"/>
  <c r="V40" i="37" s="1"/>
  <c r="Q86" i="37"/>
  <c r="V82" i="37" s="1"/>
  <c r="X62" i="37"/>
  <c r="X94" i="37"/>
  <c r="X123" i="37"/>
  <c r="T127" i="37"/>
  <c r="T126" i="37" s="1"/>
  <c r="O130" i="37"/>
  <c r="X130" i="37" s="1"/>
  <c r="X141" i="37"/>
  <c r="X63" i="37"/>
  <c r="X89" i="37"/>
  <c r="X90" i="37"/>
  <c r="X67" i="37"/>
  <c r="X91" i="37"/>
  <c r="X125" i="37"/>
  <c r="X140" i="37"/>
  <c r="X95" i="37"/>
  <c r="X142" i="37"/>
  <c r="X124" i="37"/>
  <c r="X68" i="37"/>
  <c r="U39" i="37" l="1"/>
  <c r="V39" i="37"/>
  <c r="V38" i="37" s="1"/>
  <c r="X57" i="37"/>
  <c r="U38" i="37"/>
  <c r="V76" i="37"/>
  <c r="V69" i="37" s="1"/>
  <c r="X137" i="37"/>
  <c r="X136" i="37"/>
  <c r="X85" i="37"/>
  <c r="X49" i="37"/>
  <c r="X50" i="37"/>
  <c r="X43" i="37"/>
  <c r="X86" i="37"/>
  <c r="X44" i="37"/>
  <c r="U76" i="37"/>
  <c r="U69" i="37" s="1"/>
  <c r="T52" i="37"/>
  <c r="T51" i="37" l="1"/>
  <c r="T38" i="37" s="1"/>
  <c r="T37" i="37" s="1"/>
  <c r="U127" i="37"/>
  <c r="O35" i="37"/>
  <c r="O33" i="37"/>
  <c r="I34" i="37" s="1"/>
  <c r="K34" i="37" s="1"/>
  <c r="K29" i="37"/>
  <c r="K28" i="37"/>
  <c r="T26" i="37"/>
  <c r="X25" i="37"/>
  <c r="K19" i="37"/>
  <c r="I19" i="37"/>
  <c r="I18" i="37"/>
  <c r="M16" i="37"/>
  <c r="X14" i="37"/>
  <c r="X13" i="37"/>
  <c r="X12" i="37"/>
  <c r="G17" i="37" l="1"/>
  <c r="G18" i="37" s="1"/>
  <c r="G19" i="37" s="1"/>
  <c r="O19" i="37" s="1"/>
  <c r="U126" i="37"/>
  <c r="U37" i="37" s="1"/>
  <c r="M29" i="37"/>
  <c r="V26" i="37" s="1"/>
  <c r="M28" i="37"/>
  <c r="U26" i="37" s="1"/>
  <c r="O131" i="37"/>
  <c r="K22" i="37"/>
  <c r="M34" i="37"/>
  <c r="U30" i="37" s="1"/>
  <c r="X27" i="37"/>
  <c r="X29" i="37"/>
  <c r="T30" i="37"/>
  <c r="T25" i="37" s="1"/>
  <c r="I36" i="37"/>
  <c r="K36" i="37" s="1"/>
  <c r="M36" i="37" s="1"/>
  <c r="V30" i="37" s="1"/>
  <c r="M18" i="37" l="1"/>
  <c r="Q131" i="37"/>
  <c r="V127" i="37" s="1"/>
  <c r="Q19" i="37"/>
  <c r="V15" i="37" s="1"/>
  <c r="X28" i="37"/>
  <c r="O18" i="37"/>
  <c r="X18" i="37" s="1"/>
  <c r="V25" i="37"/>
  <c r="U25" i="37"/>
  <c r="K17" i="37"/>
  <c r="X33" i="37"/>
  <c r="X35" i="37"/>
  <c r="M22" i="37"/>
  <c r="X22" i="37" s="1"/>
  <c r="X31" i="37"/>
  <c r="X19" i="37" l="1"/>
  <c r="X131" i="37"/>
  <c r="V126" i="37"/>
  <c r="V37" i="37" s="1"/>
  <c r="M17" i="37"/>
  <c r="X17" i="37" s="1"/>
  <c r="T20" i="37"/>
  <c r="M23" i="37"/>
  <c r="U15" i="37"/>
  <c r="O23" i="37" l="1"/>
  <c r="U20" i="37" s="1"/>
  <c r="U14" i="37" s="1"/>
  <c r="U13" i="37" s="1"/>
  <c r="U12" i="37" s="1"/>
  <c r="U11" i="37" s="1"/>
  <c r="T15" i="37"/>
  <c r="T14" i="37" s="1"/>
  <c r="T13" i="37" s="1"/>
  <c r="T12" i="37" s="1"/>
  <c r="T11" i="37" s="1"/>
  <c r="O24" i="37"/>
  <c r="X23" i="37" l="1"/>
  <c r="Q24" i="37"/>
  <c r="V20" i="37" s="1"/>
  <c r="V14" i="37" s="1"/>
  <c r="V13" i="37" s="1"/>
  <c r="V12" i="37" s="1"/>
  <c r="V11" i="37" s="1"/>
  <c r="X24" i="37" l="1"/>
</calcChain>
</file>

<file path=xl/comments1.xml><?xml version="1.0" encoding="utf-8"?>
<comments xmlns="http://schemas.openxmlformats.org/spreadsheetml/2006/main">
  <authors>
    <author>Автор</author>
  </authors>
  <commentLis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ИПЦ такой же как в 2025, так как еще нет ИПЦ на 2026!!!
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ИПЦ такой же как в 2025, так как еще нет ИПЦ на 2026!!!
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I16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ИПЦ такой же как в 2025, так как еще нет ИПЦ на 2026!!!
</t>
        </r>
      </text>
    </comment>
  </commentList>
</comments>
</file>

<file path=xl/sharedStrings.xml><?xml version="1.0" encoding="utf-8"?>
<sst xmlns="http://schemas.openxmlformats.org/spreadsheetml/2006/main" count="8914" uniqueCount="467">
  <si>
    <t>Нормативные затраты на обеспечение функций</t>
  </si>
  <si>
    <t>Санкт-Петербургское государственное казенное учреждение</t>
  </si>
  <si>
    <t>"Централизованная бухгалтерия администрации Кировского района Санкт-Петербурга"</t>
  </si>
  <si>
    <t>(наименование исполнительного органа государственной власти Санкт-Петербурга, казенного учреждения)</t>
  </si>
  <si>
    <t>Вид (группа, подгруппа) затрат</t>
  </si>
  <si>
    <t>1.1.</t>
  </si>
  <si>
    <t>1.1.1.</t>
  </si>
  <si>
    <t>1.2.</t>
  </si>
  <si>
    <t>1.2.1.</t>
  </si>
  <si>
    <t>2.1.</t>
  </si>
  <si>
    <t>2.1.1.</t>
  </si>
  <si>
    <t>2.1.2.</t>
  </si>
  <si>
    <t>2.2.</t>
  </si>
  <si>
    <t>2.2.1.</t>
  </si>
  <si>
    <t>2.3.</t>
  </si>
  <si>
    <t>2.3.1.</t>
  </si>
  <si>
    <t>2.4.</t>
  </si>
  <si>
    <t>2.4.1.</t>
  </si>
  <si>
    <t>2.4.2.</t>
  </si>
  <si>
    <t>2.5.</t>
  </si>
  <si>
    <t>2.5.1.</t>
  </si>
  <si>
    <t>2.5.2.</t>
  </si>
  <si>
    <t>2.5.3.</t>
  </si>
  <si>
    <t>Значение нормативных затрат,
руб. в год</t>
  </si>
  <si>
    <t>№ п/п</t>
  </si>
  <si>
    <t>=</t>
  </si>
  <si>
    <t>2.4.3.</t>
  </si>
  <si>
    <t>1.1.1.1.</t>
  </si>
  <si>
    <t>1.1.1.1.1.</t>
  </si>
  <si>
    <t>1.1.1.1.2.</t>
  </si>
  <si>
    <t>2.2.2.</t>
  </si>
  <si>
    <t>2.2.3.</t>
  </si>
  <si>
    <t>1.2.2.</t>
  </si>
  <si>
    <t>КОСГУ</t>
  </si>
  <si>
    <t>Вид расходов</t>
  </si>
  <si>
    <t>.</t>
  </si>
  <si>
    <t>РАСЧЕТ</t>
  </si>
  <si>
    <t>руб.</t>
  </si>
  <si>
    <t>2020 год</t>
  </si>
  <si>
    <t>НЗзч= Нц зч ×Свт
где:
НЗзч - нормативные затраты на приобретение других запасных частей для вычислительной техники;
Нц зч  - норматив цены запасных частей для вычислительной техники;
Свт - первоначальная стоимость вычислительной техники, находящейся на балансе</t>
  </si>
  <si>
    <t>% х</t>
  </si>
  <si>
    <t>руб. =</t>
  </si>
  <si>
    <t>руб. х (</t>
  </si>
  <si>
    <t xml:space="preserve">лет + </t>
  </si>
  <si>
    <t>шт.ед. к замещению) =</t>
  </si>
  <si>
    <t>шт.ед. : срок использования</t>
  </si>
  <si>
    <t>НЗдет орг= Нц дет ор × (Нц орг × (Чпр/(Нспи орг)+Чпл))
где:
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
Нц дет ор - норматив цены приобретения деталей для содержания оргтехники (принтеров, многофункциональных устройств и копировальных аппаратов);
Нц орг - норматив цены оргтехники;
Чпр -  прогнозируемая численность работников;
Нспи орг - норматив срока полезного использования оргтехники;
Чпл - количество должностей, планируемых к замещению</t>
  </si>
  <si>
    <t>расчет по нормативу на эл.пишущую машинку, мфу, принтер, копир, ксерокс, копировальный аппарат, финишер, сканер</t>
  </si>
  <si>
    <t>шт.ед. х норматив</t>
  </si>
  <si>
    <t>руб. х</t>
  </si>
  <si>
    <t>мес. =</t>
  </si>
  <si>
    <t>НЗпи=Чр×Нц пи×М пи
где:
НЗпи - нормативные затраты на приобретение периодических печатных изданий;
Чр - расчетная численность работников;
Нц пи - норматив цены приобретения периодических печатных изданий;
М пи - количество месяцев приобретения периодических печатных изданий</t>
  </si>
  <si>
    <t>расчет по нормативу на подписку</t>
  </si>
  <si>
    <t>расчет по нормативу на мебель</t>
  </si>
  <si>
    <t>НЗмеб=Нц меб × (Чпр/(Нспи меб)+Чпл)
где:
НЗмеб - нормативные затраты на приобретение комплекта мебели;
Нц меб - норматив цены комплекта мебели в расчете на одного работника;
Чпр - прогнозируемая численность работников;
Нспи меб - норматив срока полезного использования комплекта мебели;
Чпл - количество должностей, планируемых к замещению.</t>
  </si>
  <si>
    <t>расчет по нормативу на канц.товары</t>
  </si>
  <si>
    <t>НЗканц=Чр×Нц канц
где:
НЗканц - нормативные затраты на приобретение канцелярских принадлежностей;
Чр - расчетная численность работников
Нц канц - норматив цены набора канцелярских принадлежностей для одного работника</t>
  </si>
  <si>
    <t>расчет по нормативу на хоз.товары</t>
  </si>
  <si>
    <t>НЗхоз=Ппом×Нц хоз×М хоз
где:
НЗхоз - нормативные затраты на приобретение хозяйственных товаров и принадлежностей;
Ппом - площадь обслуживаемых помещений;
Нц хоз - норматив цены набора хозяйственных товаров и принадлежностей в расчете на один кв.м обслуживаемых помещений за один месяц обслуживания;
М хоз - количество месяцев обслуживания помещений.</t>
  </si>
  <si>
    <t>кв.м. х норматив</t>
  </si>
  <si>
    <t>заезда х средняя цена</t>
  </si>
  <si>
    <t>НЗинк=Нк инкi×Нц инкi 
где:
НЗинк - нормативные затраты на оказание услуг по инкассации, пересчету и зачислению на счет денежной наличности;
Нк инкi - норматив количества заездов;
Нц инкi  - норматив цены на оказание услуг по инкассации, пересчету и зачислению на счет денежной наличности,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</si>
  <si>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пользователей х</t>
  </si>
  <si>
    <t>мес. х средняя цена</t>
  </si>
  <si>
    <t>часов х средняя цена</t>
  </si>
  <si>
    <t>НЗсек=Кч × Нц ек 
где:
НЗсек  - нормативные затраты на оплату услуг по сопровождению единого комплекса автоматизированного ведения бюджетного учета;
Кч - количество часов сопровождению единого комплекса автоматизированного ведения бюджетного учета;
Нц ек  - норматив цены сопровождения единого комплекса автоматизированного ведения бюджетного учета, определяемый в соответствии с положениями статьи 22 Закона 44-ФЗ и рассчитываемый  в ценах на очередной финансовый год и на плановый период.</t>
  </si>
  <si>
    <t>чел. х</t>
  </si>
  <si>
    <t>раза х средняя цена</t>
  </si>
  <si>
    <t>руб. х индекс потребительских цен 2019 года</t>
  </si>
  <si>
    <t>НЗмо прейс =Чраб мо×Нк мо прейсi×Нц мо прейсi 
где:
НЗмо прейс - нормативные затраты на проведение предрейсового медицинского осмотра;
Чраб мо - численность работников, которым необходимо проведение предрейсового медицинского осмотра;
Нк мо прейсi - норматив количества планируемых предрейсовых медицинских осмотров одного работника;
Нц мо прейсi  - норматив цены предрейсового медицинского осмотра одного работника,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</si>
  <si>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кнопка х</t>
  </si>
  <si>
    <t>НЗосаго=Кавт×Нц осагоi
где:
НЗосаго - нормативные затраты приобретение полисов обязательного страхования гражданской ответственности владельцев транспортных средств;
Кавт - количество транспортных средств;
Нц осагоi - норматив цены на приобретение полисов обязательного страхования гражданской ответственности владельцев транспортных средств;</t>
  </si>
  <si>
    <t>авт. х средняя цена</t>
  </si>
  <si>
    <t>раз х средняя цена</t>
  </si>
  <si>
    <t>НЗмо период =Чраб мо×Нк мо периодi×Нц мо периодi 
где:
НЗмо период - нормативные затраты на проведение периодического медицинского осмотра;
Чраб мо - численность работников, которым необходимо проведение периодического медицинского осмотра;
Нк мо периодi - норматив количества планируемых периодических медицинских осмотров одного работника;
Нц мо периодi  - норматив цены периодического медицинского осмотра одного работника,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</si>
  <si>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литров х средняя цена</t>
  </si>
  <si>
    <t>НЗгсм=Кгсм×Нц гсм
где:
НЗгсм - нормативные затраты на приобретение горюче-смазочных материалов;
Кгсм - объем горюче-смазочных материалов (бензина);
Нц гсм - норматив цены одной единицы горюче-смазочных материалов (бензина) в расчете на один литр горюче-смазочного материала (бензина),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</si>
  <si>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шт. х</t>
  </si>
  <si>
    <t>шт. х средняя цена</t>
  </si>
  <si>
    <t>НЗобуч =Чраб×Нк обучi×Нц обучi 
где:
НЗобуч - нормативные затраты на оказание услуг по обучению персонала;
Чраб - численность работников, которым необходимо оказание услуг по обучению;
Нк обучi - норматив количества планируемых услуг по обучению одного работника;
Нц обучi  - норматив цены на оказание услуг по обучению одного работника,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</si>
  <si>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услуга х средняя цена</t>
  </si>
  <si>
    <t>авт. х</t>
  </si>
  <si>
    <t>НЗтосм авт=Кавт×Нк тосм автi×Нц тосм автi 
где:
НЗтосм авт - нормативные затраты на технический осмотр автомобиля;
Кавт - количество обслуживаемых автомобилей;
Нк тосм автi - норматив количества планируемых технических осмотров автомобиля;
Нц тосм автi  - норматив цены технического осмотра автомобиля,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</si>
  <si>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НЗто авт=Кавт×Нк то автi×Нц то автi 
где:
НЗто авт - нормативные затраты на техническое обслуживание автомобиля;
Кавт - количество обслуживаемых автомобилей;
Нк то автi - норматив количества планируемых технических обслуживаний автомобиля;
Нц то автi  - норматив цены технического обслуживания автомобиля,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</si>
  <si>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НЗтоск=Кск×Нк тоскi×Нц тоскi 
где:
НЗтоск - нормативные затраты по техническому обслуживанию систем кондиционирования;
Кск - количество обслуживаемых систем кондиционирования;
Нк тоскi - норматив количества планируемых технических обслуживаний систем кондиционирования, определяется режимом работы и периодом работы систем кондиционирования;
Нц тоскi  - норматив цены технического обслуживания систем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</si>
  <si>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НЗтосб=Ксб×Нк тосбi×Нц тосбi 
где:
НЗтосб - нормативные затраты по техническому обслуживанию счетчика банкнот;
Ксб - количество обслуживаемых счетчиков банкнот;
Нк тосбi - норматив количества планируемых технических обслуживаний счетчика банкнот, определяется режимом работы и периодом работы счетчика банкнот;
Нц тосбi  - норматив цены технического обслуживания счетчика банкнот,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</si>
  <si>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затраты на информационно-коммуникационные технологии</t>
  </si>
  <si>
    <t>затраты на приобретение прочих работ и услуг, не относящихся к затратам на услуги связи, аренду и содержание имущества</t>
  </si>
  <si>
    <t>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t>
  </si>
  <si>
    <t>затраты на оплату услуг по сопровождению и приобретению иного программного обеспечения</t>
  </si>
  <si>
    <t>затраты на оплату услуг по сопровождению и обслуживанию программного комплекса "АРГОС-Налогоплательщик"</t>
  </si>
  <si>
    <t>затраты на приобретение других запасных частей для вычислительной техники</t>
  </si>
  <si>
    <t>затраты на приобретение материальных запасов в сфере информационно-коммуникационных технологий</t>
  </si>
  <si>
    <t>иные прочие затраты, не отнесенные к иным затратам, указанным в подпунктах "а"-"ж" пункта 6 Общих правил</t>
  </si>
  <si>
    <t>затраты на оказание услуг по инкассации, пересчету и зачислению на счет денежной наличности</t>
  </si>
  <si>
    <t>затраты на оказание услуг по дополнительному профессиональному обучению</t>
  </si>
  <si>
    <t>затраты на оказание нотариальных услуг</t>
  </si>
  <si>
    <t>затраты на приобретение материальных запасов, не отнесенные к затратам, указанным в подпунктах "а"-"ж" пункта 6 Общих правил:</t>
  </si>
  <si>
    <t>затраты на приобретение канцелярских принадлежностей</t>
  </si>
  <si>
    <t>затраты на приобретение хозяйственных товаров и принадлежностей</t>
  </si>
  <si>
    <t>затраты на приобретение горюче-смазочных материалов</t>
  </si>
  <si>
    <t>затраты на приобретение основных средств</t>
  </si>
  <si>
    <t>затраты на приобретение мебели</t>
  </si>
  <si>
    <t>затраты на приобретение периодических печатных изданий</t>
  </si>
  <si>
    <t>затраты на оплату типографских работ и услуг, включая приобретение периодических печатных изданий</t>
  </si>
  <si>
    <t>затраты на проведение предрейсового и послерейсового осмотра водителей транспортных средств</t>
  </si>
  <si>
    <t>затраты на проведение периодического медицинского осмотра</t>
  </si>
  <si>
    <t>затраты на проведение предрейсового медицинского осмотра</t>
  </si>
  <si>
    <t>затраты на приобретение полисов обязательного страхования гражданской ответственности владельцев транспортных средств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</si>
  <si>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</t>
  </si>
  <si>
    <t>затраты по техническому обслуживанию и регламентно-профилактический ремонту комплексных систем обеспечения безопасности</t>
  </si>
  <si>
    <t>затраты по техническому обслуживанию охранно-тревожной сигнализации</t>
  </si>
  <si>
    <t>затраты на техническое обслуживание и ремонт транспортных средств</t>
  </si>
  <si>
    <t>затраты на техническое обслуживание автомобиля</t>
  </si>
  <si>
    <t>затраты на технический осмотр автомобиля</t>
  </si>
  <si>
    <t>затраты на техническое обслуживание и регламентно-профилактический ремонт иного оборудования</t>
  </si>
  <si>
    <t>затраты по техническому обслуживанию счетчика банкнот</t>
  </si>
  <si>
    <t>затраты на содержание имущества</t>
  </si>
  <si>
    <t>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</t>
  </si>
  <si>
    <t>заключаемым со сторонними организациями, а также к затратам на коммунальные услуги, аренду помещений и оборудования, содержание имущества</t>
  </si>
  <si>
    <t>Порядок расчета нормативных затрат *</t>
  </si>
  <si>
    <t>кв. х средняя цена</t>
  </si>
  <si>
    <t>2021 год</t>
  </si>
  <si>
    <t>затраты на приобретение деталей для содержания оргтехники (принтеров, многофункциональных устройств и копировальных аппаратов)</t>
  </si>
  <si>
    <t>затраты по диагностике и техническому обслуживанию систем кондиционирования</t>
  </si>
  <si>
    <t>2.2.2.1.</t>
  </si>
  <si>
    <t>2.2.2.2.</t>
  </si>
  <si>
    <t>2.1.2.1.</t>
  </si>
  <si>
    <t>2.1.2.2.</t>
  </si>
  <si>
    <t>2.1.2.3.</t>
  </si>
  <si>
    <t>2.2.1.1.</t>
  </si>
  <si>
    <t>2.2.4.</t>
  </si>
  <si>
    <t>* - расчеты произведены с учетом индексов потребительских цен: на 2020 год – 103,97,0 %, на 2021 год – 103,89 %, на 2022 год – 104,08 %.</t>
  </si>
  <si>
    <t xml:space="preserve"> Исполняющий обязанности директора</t>
  </si>
  <si>
    <t>Н.В. Введенская</t>
  </si>
  <si>
    <t>х индекс потребительских цен 2022 года</t>
  </si>
  <si>
    <t>х индекс потребительских цен 2021 года</t>
  </si>
  <si>
    <t>руб. х индекс потребительских цен 2020 года</t>
  </si>
  <si>
    <t>расчет на 2020 год :</t>
  </si>
  <si>
    <t>расчет на 2021 год :</t>
  </si>
  <si>
    <t>расчет на 2022 год :</t>
  </si>
  <si>
    <t>расчет - мониторинг на 2020 год + индексация</t>
  </si>
  <si>
    <t>0150096170
226</t>
  </si>
  <si>
    <t>01510096780
226</t>
  </si>
  <si>
    <r>
      <t xml:space="preserve">мониторинг на </t>
    </r>
    <r>
      <rPr>
        <sz val="11"/>
        <color rgb="FF0000FF"/>
        <rFont val="Times New Roman"/>
        <family val="1"/>
        <charset val="204"/>
      </rPr>
      <t>2020</t>
    </r>
    <r>
      <rPr>
        <sz val="11"/>
        <color theme="1"/>
        <rFont val="Times New Roman"/>
        <family val="1"/>
        <charset val="204"/>
      </rPr>
      <t xml:space="preserve"> год :</t>
    </r>
  </si>
  <si>
    <t>средняя цена</t>
  </si>
  <si>
    <t>среднее раз</t>
  </si>
  <si>
    <t>затраты на приобретение систем кондиционирования</t>
  </si>
  <si>
    <t>расчет - мониторинг на 2020 год + индексация  !!!не реже 1 раза в 2 года</t>
  </si>
  <si>
    <t>норматив на 2020 год :</t>
  </si>
  <si>
    <t>норматив на 2021 год :</t>
  </si>
  <si>
    <t>норматив на 2022 год :</t>
  </si>
  <si>
    <t>расчет по нормативу на системные блоки, компьютер, ноутбук, персональный компьютер, сервер, сетевое хранилище, мониторы</t>
  </si>
  <si>
    <t>норматив на 2020 год:</t>
  </si>
  <si>
    <t>норматив по оргтехнике на 2020 год :</t>
  </si>
  <si>
    <t>норматив по оргтехнике на 2021 год :</t>
  </si>
  <si>
    <t>норматив по оргтехнике на 2022 год :</t>
  </si>
  <si>
    <t>норматив по мебели на 2020 год :</t>
  </si>
  <si>
    <t>норматив по мебели на 2021 год :</t>
  </si>
  <si>
    <t>норматив по мебели на 2022 год :</t>
  </si>
  <si>
    <t>расчет - примерная сумма на 2020 год + индексация</t>
  </si>
  <si>
    <r>
      <t xml:space="preserve">примерно на </t>
    </r>
    <r>
      <rPr>
        <sz val="11"/>
        <color rgb="FF0000FF"/>
        <rFont val="Times New Roman"/>
        <family val="1"/>
        <charset val="204"/>
      </rPr>
      <t>2020</t>
    </r>
    <r>
      <rPr>
        <sz val="11"/>
        <color theme="1"/>
        <rFont val="Times New Roman"/>
        <family val="1"/>
        <charset val="204"/>
      </rPr>
      <t xml:space="preserve"> год :</t>
    </r>
  </si>
  <si>
    <t>2.1.1.1.</t>
  </si>
  <si>
    <t>2.1.1.2.</t>
  </si>
  <si>
    <t>2.1.2.2.1.</t>
  </si>
  <si>
    <t>!!!ПРОПУСКАЕМ 2021 год</t>
  </si>
  <si>
    <t>!!!ПРОПУСКАЕМ 2021 и 2022 года</t>
  </si>
  <si>
    <t>затраты на приобретение прочих основных средств (калькулятор, вентилятор, электрочайник, микроволновая печь, холодильник и т.п.)</t>
  </si>
  <si>
    <r>
      <t xml:space="preserve">расчет - мониторинг на 2020 год + индексация </t>
    </r>
    <r>
      <rPr>
        <b/>
        <sz val="11"/>
        <color rgb="FFFF0000"/>
        <rFont val="Times New Roman"/>
        <family val="1"/>
        <charset val="204"/>
      </rPr>
      <t>!!! ТОЛЬКО НА 2020 год</t>
    </r>
  </si>
  <si>
    <t>НЗконд=Кк×Нц конд
где:
НЗконд - нормативные затраты на приобретение систем кондиционирования;
Кк - количество систем кондиционирования
Нц конд - норматив цены системы кондиционирования</t>
  </si>
  <si>
    <t>НЗосн проч=Косн проч×Нц осн проч
где:
НЗосн проч - нормативные затраты на приобретение прочих основных средств;
Косн проч - количество прочих основных средств
Нц осн проч - норматив цены набора прочих основных средств</t>
  </si>
  <si>
    <r>
      <t xml:space="preserve">мониторинг на </t>
    </r>
    <r>
      <rPr>
        <sz val="11"/>
        <color rgb="FF0000FF"/>
        <rFont val="Times New Roman"/>
        <family val="1"/>
        <charset val="204"/>
      </rPr>
      <t>2018</t>
    </r>
    <r>
      <rPr>
        <sz val="11"/>
        <color theme="1"/>
        <rFont val="Times New Roman"/>
        <family val="1"/>
        <charset val="204"/>
      </rPr>
      <t xml:space="preserve"> год :</t>
    </r>
  </si>
  <si>
    <t>расчет на 2019 год :</t>
  </si>
  <si>
    <t>2.3.3.</t>
  </si>
  <si>
    <t>НЗнот=Нк нотi×Нц нотi 
где:
НЗнот - нормативные затраты на оказание нотариальных услуг;
Нк нотi - норматив количества услуг;
Нц нотi  - норматив цены на оказание нотариальных услуг,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</si>
  <si>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НЗпк=Кпольз ×Нк пкi × Нц пк 
где:
НЗпк  - нормативные затраты на оплату услуг по сопровождению и обслуживанию программного комплекса АРГОС-Налогоплательщик;
Кпольз - количество пользователей программного комплекса АРГОС-Налогоплательщик;
Нк пкi - норматив количества месяцев (кварталов), определяется с учетом планируемого количества месяцев использования услуг по сопровождению и обслуживанию программного комплекса АРГОС-Налогоплательщик;
Нц пк  - норматив цены сопровождения и обслуживания программного комплекса "АРГОС-Налогоплательщик", определяемый в соответствии с положениями статьи 22 Закона 44-ФЗ и рассчитываемый  в ценах на очередной финансовый год и на плановый период.</t>
  </si>
  <si>
    <t>НЗто охр=Кк×Нк то охрi ×Нц то охрi 
где:
НЗто охр - нормативные затраты по техническому обслуживанию охранно-тревожной сигнализации;
Кк - количество обслуживаемых кнопок охранной сигнализации;
Нк то охрi - норматив количества месяцев, определяется с учетом планируемого количества месяцев использования услуг по техническому обслуживанию охранно-тревожной сигнализации;
Нц то охрi  - норматив цены технического обслуживания охранно-тревожной сигнализации,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</si>
  <si>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r>
      <t xml:space="preserve">раз х средняя цена </t>
    </r>
    <r>
      <rPr>
        <sz val="11"/>
        <color rgb="FFFF0000"/>
        <rFont val="Times New Roman"/>
        <family val="1"/>
        <charset val="204"/>
      </rPr>
      <t>+ ндс 20%</t>
    </r>
  </si>
  <si>
    <t>расчет - мониторинг на 2018 год + ндс 20% + индексация</t>
  </si>
  <si>
    <t>2022 год</t>
  </si>
  <si>
    <r>
      <t xml:space="preserve">на </t>
    </r>
    <r>
      <rPr>
        <b/>
        <sz val="14"/>
        <color rgb="FF0000FF"/>
        <rFont val="Times New Roman"/>
        <family val="1"/>
        <charset val="204"/>
      </rPr>
      <t>2020</t>
    </r>
    <r>
      <rPr>
        <b/>
        <sz val="14"/>
        <color theme="1"/>
        <rFont val="Times New Roman"/>
        <family val="1"/>
        <charset val="204"/>
      </rPr>
      <t xml:space="preserve"> год и на плановый период </t>
    </r>
    <r>
      <rPr>
        <b/>
        <sz val="14"/>
        <color rgb="FF0000FF"/>
        <rFont val="Times New Roman"/>
        <family val="1"/>
        <charset val="204"/>
      </rPr>
      <t>2021</t>
    </r>
    <r>
      <rPr>
        <b/>
        <sz val="14"/>
        <color theme="1"/>
        <rFont val="Times New Roman"/>
        <family val="1"/>
        <charset val="204"/>
      </rPr>
      <t xml:space="preserve"> и </t>
    </r>
    <r>
      <rPr>
        <b/>
        <sz val="14"/>
        <color rgb="FF0000FF"/>
        <rFont val="Times New Roman"/>
        <family val="1"/>
        <charset val="204"/>
      </rPr>
      <t>2022</t>
    </r>
    <r>
      <rPr>
        <b/>
        <sz val="14"/>
        <color theme="1"/>
        <rFont val="Times New Roman"/>
        <family val="1"/>
        <charset val="204"/>
      </rPr>
      <t xml:space="preserve"> годов</t>
    </r>
  </si>
  <si>
    <t>2.3.2.</t>
  </si>
  <si>
    <t>расчет - мониторинг на 2019 год + индексация</t>
  </si>
  <si>
    <r>
      <t xml:space="preserve">мониторинг на </t>
    </r>
    <r>
      <rPr>
        <sz val="11"/>
        <color rgb="FF0000FF"/>
        <rFont val="Times New Roman"/>
        <family val="1"/>
        <charset val="204"/>
      </rPr>
      <t>2019</t>
    </r>
    <r>
      <rPr>
        <sz val="11"/>
        <color theme="1"/>
        <rFont val="Times New Roman"/>
        <family val="1"/>
        <charset val="204"/>
      </rPr>
      <t xml:space="preserve"> год :</t>
    </r>
  </si>
  <si>
    <t>затраты на оплату услуг охраны объекта</t>
  </si>
  <si>
    <t>НЗохр=Ккн×Нк охрi×Нц охрi
где:
НЗохр - нормативные затраты на оплату услуг охраны объекта;
Кк - количество обслуживаемых кнопок охранной сигнализации;
Нк охрi - норматив количества планируемых месяцев, в течении которых планируются предоставляться услуги охраны объекта;
Нц охрi - норматив цены на услуги охраны объекта в месяц,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</si>
  <si>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расчет - мониторинг на 2020 + индексация</t>
  </si>
  <si>
    <r>
      <t xml:space="preserve">на </t>
    </r>
    <r>
      <rPr>
        <b/>
        <sz val="14"/>
        <color rgb="FF0000FF"/>
        <rFont val="Times New Roman"/>
        <family val="1"/>
        <charset val="204"/>
      </rPr>
      <t>2021</t>
    </r>
    <r>
      <rPr>
        <b/>
        <sz val="14"/>
        <color theme="1"/>
        <rFont val="Times New Roman"/>
        <family val="1"/>
        <charset val="204"/>
      </rPr>
      <t xml:space="preserve"> год и на плановый период </t>
    </r>
    <r>
      <rPr>
        <b/>
        <sz val="14"/>
        <color rgb="FF0000FF"/>
        <rFont val="Times New Roman"/>
        <family val="1"/>
        <charset val="204"/>
      </rPr>
      <t>2022</t>
    </r>
    <r>
      <rPr>
        <b/>
        <sz val="14"/>
        <color theme="1"/>
        <rFont val="Times New Roman"/>
        <family val="1"/>
        <charset val="204"/>
      </rPr>
      <t xml:space="preserve"> и </t>
    </r>
    <r>
      <rPr>
        <b/>
        <sz val="14"/>
        <color rgb="FF0000FF"/>
        <rFont val="Times New Roman"/>
        <family val="1"/>
        <charset val="204"/>
      </rPr>
      <t>2023</t>
    </r>
    <r>
      <rPr>
        <b/>
        <sz val="14"/>
        <color theme="1"/>
        <rFont val="Times New Roman"/>
        <family val="1"/>
        <charset val="204"/>
      </rPr>
      <t xml:space="preserve"> годов</t>
    </r>
  </si>
  <si>
    <t>2023 год</t>
  </si>
  <si>
    <t>затраты на оказание услуг по сопровождению и охране денежных средств при их транспортировке</t>
  </si>
  <si>
    <t>2.5.4.</t>
  </si>
  <si>
    <t>затраты на оказание архивных услуг по переплету документов</t>
  </si>
  <si>
    <t>НЗарх=Нк архi×Нц архi 
где:
НЗарх - нормативные затраты на оказание архивных услуг по переплету документов;
Нк архi - норматив количества услуг (архивная обработка дел + составление архивной описи дел);
Нц архi  - норматив цены на оказание архивных услуг по переплету документов,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</si>
  <si>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норматив на 2023 год :</t>
  </si>
  <si>
    <t>норматив по мебели на 2023 год :</t>
  </si>
  <si>
    <t xml:space="preserve">руб. х индекс потребительских цен </t>
  </si>
  <si>
    <t>О.А. Пахомова</t>
  </si>
  <si>
    <t>Директор</t>
  </si>
  <si>
    <t>норматив на 2021 год:</t>
  </si>
  <si>
    <t>норматив по оргтехнике на 2023 год :</t>
  </si>
  <si>
    <t>2.4.4.</t>
  </si>
  <si>
    <t>2.1.1.3.</t>
  </si>
  <si>
    <t>затраты на ремонт автомобиля</t>
  </si>
  <si>
    <t>2.1.3.</t>
  </si>
  <si>
    <t>иные затраты на техническое обслуживание и содержание имущества</t>
  </si>
  <si>
    <t>225</t>
  </si>
  <si>
    <t>244</t>
  </si>
  <si>
    <t>2.1.3.1.</t>
  </si>
  <si>
    <t>затраты по вывозу и утилизации отработанных картриджей</t>
  </si>
  <si>
    <t>НЗвуок=Кку×Нк вуокi×Нц вуокi 
где:
НЗвуок - нормативные затраты по вывозу и утилизации отработанных картриджей;
Ксу - количество услуг;
Нк вуокi - норматив количества планируемых услуг;
Нц вуокi  - норматив цены вывоза и утилизации отработанных картриджей,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</si>
  <si>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НЗсодс=Нк содсi×Нц содсi 
где:
НЗсодс - нормативные затраты на оказание услуг по сопровождению и охране денежных средств при их транспортировке;
Нк содсi - норматив количества заездов;
Нц содсi  - норматив цены на оказание услуг по сопровождению и охране денежных средств при их транспортировке,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</si>
  <si>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затраты на оказание услуг по обучению персрнала</t>
  </si>
  <si>
    <t>НЗравт=Кавт×Нк равтi×Нц равтi 
где:
НЗравт - нормативные затраты на ремонт автомобиля;
Кавт - количество автомобилей;
Нк равтi - норматив количества планируемых услуг;
Нц равтi  - норматив цены ремонта автомобиля,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</si>
  <si>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2.4.5.</t>
  </si>
  <si>
    <t>затраты на приобретение масок медицинских одноразовых</t>
  </si>
  <si>
    <t>НЗмм=Кмм × Нц мм
где:
НЗмм - нормативные затраты на приобретение масок медицинских одноразовых;
Кмм - количество;
Нц мм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</si>
  <si>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* - расчеты произведены с учетом индексов потребительских цен: на 2021 год – 103,89,0 %, на 2022 год – 104,08 %, на 2023 год – 104,08 %.</t>
  </si>
  <si>
    <t>затраты по ремонту систем кондиционирования</t>
  </si>
  <si>
    <t>НЗрск=Кск×Нк рскi×Нц рскi 
где:
НЗрск - нормативные затраты  по ремонту систем кондиционирования;
Кск - количество  систем кондиционирования;
Нк рскi - норматив количества систем кондиционирования;
Нц рскi  - норматив цены ремонта систем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</si>
  <si>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затраты на приобретение шин для автомобиля</t>
  </si>
  <si>
    <t>НЗша=Кша×Нц ша
где:
НЗша - нормативные затраты на приобретение шин для автомобиля;
Кша - количество;
Нц ша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</si>
  <si>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2.1.2.3.1.</t>
  </si>
  <si>
    <t>2.1.2.4.</t>
  </si>
  <si>
    <r>
      <t xml:space="preserve">затраты на приобретение прочих основных средств </t>
    </r>
    <r>
      <rPr>
        <sz val="12"/>
        <color theme="0"/>
        <rFont val="Times New Roman"/>
        <family val="1"/>
        <charset val="204"/>
      </rPr>
      <t>(калькулятор, вентилятор, электрочайник, микроволновая печь, холодильник, счетчик банкнот и т.п.)</t>
    </r>
  </si>
  <si>
    <t>2024 год</t>
  </si>
  <si>
    <t>1.1.2.</t>
  </si>
  <si>
    <t>норматив на 2024 год :</t>
  </si>
  <si>
    <t>норматив на 2022 год:</t>
  </si>
  <si>
    <t>норматив по оргтехнике на 2023год :</t>
  </si>
  <si>
    <t>норматив по оргтехнике на 2024 год :</t>
  </si>
  <si>
    <t xml:space="preserve">авт.  х индекс потребительских цен </t>
  </si>
  <si>
    <t>ед. х средняя цена</t>
  </si>
  <si>
    <t>нормативное количество обслуживаний систем кондиционирования;</t>
  </si>
  <si>
    <t>затраты по  техническому обслуживанию систем кондиционирования</t>
  </si>
  <si>
    <t>руб. х мес.</t>
  </si>
  <si>
    <t>руб. х ед</t>
  </si>
  <si>
    <t>затраты по вывозу и утилизации огнетушителей</t>
  </si>
  <si>
    <t>расчет - мониторинг на 2021 год + индексация</t>
  </si>
  <si>
    <t>2.1.3.2.</t>
  </si>
  <si>
    <r>
      <t xml:space="preserve">на </t>
    </r>
    <r>
      <rPr>
        <b/>
        <sz val="14"/>
        <color rgb="FF0000FF"/>
        <rFont val="Times New Roman"/>
        <family val="1"/>
        <charset val="204"/>
      </rPr>
      <t>2023</t>
    </r>
    <r>
      <rPr>
        <b/>
        <sz val="14"/>
        <color theme="1"/>
        <rFont val="Times New Roman"/>
        <family val="1"/>
        <charset val="204"/>
      </rPr>
      <t xml:space="preserve"> год и на плановый период </t>
    </r>
    <r>
      <rPr>
        <b/>
        <sz val="14"/>
        <color rgb="FF0000FF"/>
        <rFont val="Times New Roman"/>
        <family val="1"/>
        <charset val="204"/>
      </rPr>
      <t>2024</t>
    </r>
    <r>
      <rPr>
        <b/>
        <sz val="14"/>
        <color theme="1"/>
        <rFont val="Times New Roman"/>
        <family val="1"/>
        <charset val="204"/>
      </rPr>
      <t xml:space="preserve"> и </t>
    </r>
    <r>
      <rPr>
        <b/>
        <sz val="14"/>
        <color rgb="FF0000FF"/>
        <rFont val="Times New Roman"/>
        <family val="1"/>
        <charset val="204"/>
      </rPr>
      <t>2025</t>
    </r>
    <r>
      <rPr>
        <b/>
        <sz val="14"/>
        <color theme="1"/>
        <rFont val="Times New Roman"/>
        <family val="1"/>
        <charset val="204"/>
      </rPr>
      <t xml:space="preserve"> годов</t>
    </r>
  </si>
  <si>
    <t>норматив на 2025 год :</t>
  </si>
  <si>
    <t>п. 11 НОРМАТИВА  расчет по нормативу на системные блоки, компьютер, ноутбук, персональный компьютер, сервер, сетевое хранилище, мониторы</t>
  </si>
  <si>
    <t>норматив по оргтехнике на 2025 год :</t>
  </si>
  <si>
    <t>п. 12.1(от п.6) НОРМАТИВА расчет по нормативу на эл.пишущую машинку, мфу, принтер, копир, ксерокс, копировальный аппарат, финишер, сканер</t>
  </si>
  <si>
    <t>без НОРМАТИВА, считаем с помощью ИПЦ - расчет - мониторинг на 2023 год + индексация</t>
  </si>
  <si>
    <t>без НОРМАТИВА, считаем с помощью ИПЦ - расчет - НОРМИРОВАНИЕ  на 2022 год + индексация</t>
  </si>
  <si>
    <t>без НОРМАТИВА, считаем с помощью ИПЦ - расчет - НОРМИРОВАНИЕ  на 2023 год + индексация</t>
  </si>
  <si>
    <t>п. 15.1  НОРМАТИВА   расчет по нормативу на подписку</t>
  </si>
  <si>
    <t>без НОРМАТИВА, считаем с помощью ИПЦ - расчет - НОРМИРОВАНИЕ  на 2022 год + индексация            не реже 1 раза в 2 года</t>
  </si>
  <si>
    <t xml:space="preserve">без НОРМАТИВА, считаем с помощью ИПЦ - расчет - НОРМИРОВАНИЕ  на 2022 год + индексация     </t>
  </si>
  <si>
    <t>руб. цена одного часа</t>
  </si>
  <si>
    <t xml:space="preserve">час х стоимость часа  х  индекс потребительских цен </t>
  </si>
  <si>
    <t xml:space="preserve">чел. </t>
  </si>
  <si>
    <t>% х первонач.стоимость выч.техники</t>
  </si>
  <si>
    <t xml:space="preserve">авт.  </t>
  </si>
  <si>
    <t xml:space="preserve">раз х средняя цена </t>
  </si>
  <si>
    <t xml:space="preserve">авт. х средняя цена х индекс потребительских цен </t>
  </si>
  <si>
    <r>
      <t xml:space="preserve">без НОРМАТИВА, считаем с помощью ИПЦ - расчет - </t>
    </r>
    <r>
      <rPr>
        <b/>
        <i/>
        <sz val="11"/>
        <color rgb="FFFF0000"/>
        <rFont val="Times New Roman"/>
        <family val="1"/>
        <charset val="204"/>
      </rPr>
      <t>мониторинг на 2023 год</t>
    </r>
    <r>
      <rPr>
        <i/>
        <sz val="11"/>
        <color rgb="FFFF0000"/>
        <rFont val="Times New Roman"/>
        <family val="1"/>
        <charset val="204"/>
      </rPr>
      <t xml:space="preserve"> + индексация</t>
    </r>
  </si>
  <si>
    <t>раз. х</t>
  </si>
  <si>
    <t>у.ед. х средняя цена</t>
  </si>
  <si>
    <t>п. 17 НОРМАТИВА  расчет   на мебель руб. на 1 работника</t>
  </si>
  <si>
    <t>затраты на приобретение комплекта  мебели</t>
  </si>
  <si>
    <t>п.  18.3   НОРМАТИВА  расчет  на набор канц.принадлежностей</t>
  </si>
  <si>
    <t>затраты на приобретение набора канцелярских принадлежностей</t>
  </si>
  <si>
    <t>НЗканц=Чр×Нц канц
где:
НЗканц - нормативные затраты на приобретение набора  канцелярских принадлежностей;
Чр - расчетная численность работников
Нц канц - норматив цены набора канцелярских принадлежностей для одного работника</t>
  </si>
  <si>
    <t>Санкт-Петербургского государственного казенного учреждения</t>
  </si>
  <si>
    <r>
      <t xml:space="preserve">на </t>
    </r>
    <r>
      <rPr>
        <b/>
        <sz val="14"/>
        <color rgb="FF0000FF"/>
        <rFont val="Times New Roman"/>
        <family val="1"/>
        <charset val="204"/>
      </rPr>
      <t>2022</t>
    </r>
    <r>
      <rPr>
        <b/>
        <sz val="14"/>
        <color theme="1"/>
        <rFont val="Times New Roman"/>
        <family val="1"/>
        <charset val="204"/>
      </rPr>
      <t xml:space="preserve"> год и на плановый период </t>
    </r>
    <r>
      <rPr>
        <b/>
        <sz val="14"/>
        <color rgb="FF0000FF"/>
        <rFont val="Times New Roman"/>
        <family val="1"/>
        <charset val="204"/>
      </rPr>
      <t>2023</t>
    </r>
    <r>
      <rPr>
        <b/>
        <sz val="14"/>
        <color theme="1"/>
        <rFont val="Times New Roman"/>
        <family val="1"/>
        <charset val="204"/>
      </rPr>
      <t xml:space="preserve"> и </t>
    </r>
    <r>
      <rPr>
        <b/>
        <sz val="14"/>
        <color rgb="FF0000FF"/>
        <rFont val="Times New Roman"/>
        <family val="1"/>
        <charset val="204"/>
      </rPr>
      <t>2024</t>
    </r>
    <r>
      <rPr>
        <b/>
        <sz val="14"/>
        <color theme="1"/>
        <rFont val="Times New Roman"/>
        <family val="1"/>
        <charset val="204"/>
      </rPr>
      <t xml:space="preserve"> годов</t>
    </r>
  </si>
  <si>
    <t>затраты на плановое техническое обслуживание автомобиля</t>
  </si>
  <si>
    <t>расчет - мониторинг на 2022 год + индексация</t>
  </si>
  <si>
    <t>НЗто авт=Кавт×Нк то автi×Нц то автi 
где:
НЗто авт - нормативные затраты на плановое техническое обслуживание автомобиля;
Кавт - количество услуг;
Нк то автi - количество;
Нц то автi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</si>
  <si>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раз х</t>
  </si>
  <si>
    <t>ед. х средняя цена с индексом потребительских цен</t>
  </si>
  <si>
    <t>НЗтосм авт=Кавт×Нк тосм автi×Нц тосм автi 
где:
НЗтосм авт - нормативные затраты на технический осмотр автомобиля;
Кавт - количество услуг;
Нк тосм автi - количество;
Нц тосм автi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</si>
  <si>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НЗравт=Кавт×Нк равтi×Нц равтi 
где:
НЗравт - нормативные затраты на ремонт автомобиля;
Кавт - количество услуг;
Нк равтi - количество;
Нц равтi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</si>
  <si>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НЗтоск=Кск×Нк тоскi×Нц тоскi 
где:
НЗтоск - нормативные затраты по  техническому обслуживанию систем кондиционирования;
Кск - количество услуг;
Нк тоскi - количество;
Нц тоскi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</si>
  <si>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НЗрск=Кск×Нк рскi×Нц рскi 
где:
НЗрск - нормативные затраты  по ремонту систем кондиционирования;
Кск - количество услуг;
Нк рскi - количество;
Нц рскi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</si>
  <si>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НЗто охр=Кк×Нк то охрi ×Нц то охрi 
где:
НЗто охр - нормативные затраты по техническому обслуживанию охранно-тревожной сигнализации;
Кк - количество услуг;
Нк то охрi - количество;
Нц то охрi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</si>
  <si>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НЗтосб=Ксб×Нк тосбi×Нц тосбi 
где:
НЗтосб - нормативные затраты по техническому обслуживанию счетчика банкнот;
Ксб - количество услуг;
Нк тосбi - количество;
Нц тосбi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</si>
  <si>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НЗвуок=Кку×Нк вуокi×Нц вуокi 
где:
НЗвуок - нормативные затраты по вывозу и утилизации отработанных картриджей;
Ксу - количество услуг;
Нк вуокi - количество;
Нц вуокi  - норматив цены одной единицы услуги,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</si>
  <si>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НЗвуог=Кку×Нк вуогi×Нц вуогi 
где:
НЗвуог - нормативные затраты по вывозу и утилизации  огнетушителей;
Куо - количество услуг;
Нк вуогi - норматив количества планируемых услуг;
Нц вуогi  - норматив цены вывоза и утилизации  огнетушителей,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</si>
  <si>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 заключаемым со сторонними организациями, а также к затратам на коммунальные услуги, аренду помещений и оборудования, содержание имущества включают в себя:
нормативные затраты на оплату типографских работ и услуг, включая приобретение периодических печатных изданий;
нормативные затраты на проведение осмотра водителей транспортных средств;
нормативные затраты на оплату услуг по охране объекта;
нормативные затраты на приобретение услуг по обязательному страхованию гражданской ответственности владельцев транспортных средств</t>
  </si>
  <si>
    <t>затраты на проведение  осмотра водителей транспортных средств</t>
  </si>
  <si>
    <t>НЗмо период =Чраб мо×Нк мо периодi×Нц мо периодi 
где:
НЗмо период - нормативные затраты на проведение периодического медицинского осмотра;
Чраб мо - численность работников;
Нк мо периодi - количество;
Нц мо периодi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</si>
  <si>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раз х средняя цена с индексом потребительских цен</t>
  </si>
  <si>
    <t>НЗмо прейс =Чраб мо×Нк мо прейсi×Нц мо прейсi 
где:
НЗмо прейс - нормативные затраты на проведение предрейсового медицинского осмотра;
Чраб мо - численность работников;
Нк мо прейсi - количество;
Нц мо прейсi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</si>
  <si>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затраты на оплату услуг по охране объекта</t>
  </si>
  <si>
    <t>НЗохр=Нк охрi×Нц охрi 
где:
НЗсодс - нормативные затраты на оказание услуг по охране объекта;
Нк содсi - количество;
Нц содсi 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</si>
  <si>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час. х средняя цена</t>
  </si>
  <si>
    <t>час. х средняя цена с индексом потребительских цен</t>
  </si>
  <si>
    <t>затраты на приобретение услуг по обязательному страхованию гражданской ответственности владельцев транспортных средств</t>
  </si>
  <si>
    <t>НЗосаго=Кавт×Нц осагоi
где:
НЗосаго - нормативные затраты приобретение услуг по обязательному страхованию гражданской ответственности владельцев транспортных средств;
Кавт - количество;
Нц осагоi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</si>
  <si>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затраты на приобретение комплекта мебели</t>
  </si>
  <si>
    <t>норматив по мебели на 2024 год :</t>
  </si>
  <si>
    <t>НЗконд=Кк×Нц конд
где:
НЗконд - нормативные затраты на приобретение систем кондиционирования;
Кк - количество;
Нц конд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</si>
  <si>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шт. х средняя цена с индексом потребительских цен</t>
  </si>
  <si>
    <t>затраты на приобретение огнетушителей</t>
  </si>
  <si>
    <t>расчет - мониторинг на 2023 год + индексация</t>
  </si>
  <si>
    <t>НЗогн=Когн×Нц огн
где:
НЗогн - нормативные затраты на приобретение огнетушителей;
Когн - количество;
Нц огн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</si>
  <si>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2.3.4.</t>
  </si>
  <si>
    <t>затраты на приобретение прочих основных средств</t>
  </si>
  <si>
    <t>НЗосн проч=Косн проч×Нц осн проч
где:
НЗосн проч - нормативные затраты на приобретение прочих основных средств;
Косн проч - количество;
Нц осн проч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</si>
  <si>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НЗканц=Чр×Нц канц
где:
НЗканц - нормативные затраты на приобретение набора канцелярских принадлежностей;
Чр - расчетная численность работников
Нц канц - норматив цены набора канцелярских принадлежностей для одного работника</t>
  </si>
  <si>
    <t>НЗгсм=Кгсм×Нц гсм
где:
НЗгсм - нормативные затраты на приобретение горюче-смазочных материалов;
Кгсм - количество;
Нц гсм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</si>
  <si>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л. х средняя цена</t>
  </si>
  <si>
    <t>л. х средняя цена с индексом потребительских цен =</t>
  </si>
  <si>
    <t>затраты на приобретение противогазов</t>
  </si>
  <si>
    <t>НЗпрот=Кпрот×Нц прот
где:
НЗпрот - нормативные затраты на приобретение противогазов;
Кпрот - количество;
Нц прот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</si>
  <si>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затраты на приобретение комплектов индивидуальной медицинской гражданской защиты</t>
  </si>
  <si>
    <t>НЗкимгз=Ккимгз×Нц кимгз
где:
НЗкимгз- нормативные затраты на приобретение комплектов индивидуальной медицинской гражданской защиты;
Ккимгз - количество;
Нц кимгз-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</si>
  <si>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затраты на приобретение аптечки первой помощи</t>
  </si>
  <si>
    <t>НЗапт=Капт×Нц апт
где:
НЗапт - нормативные затраты на приобретение аптечки первой помощи;
Капт - количество;
Нц апт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</si>
  <si>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2.4.6.</t>
  </si>
  <si>
    <t>затраты на приобретение  пакетов перевязочных индивидуальных</t>
  </si>
  <si>
    <t>НЗпакп=Кпакп×Нц пакп
где:
НЗпакп - = нормативные затраты на приобретение  пакетов перевязочных индивидуальных;
Кпакп- количество;
Нц пакп-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</si>
  <si>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2.4.7.</t>
  </si>
  <si>
    <t>затраты на приобретение индивидуальных противохимических пакетов</t>
  </si>
  <si>
    <t>НЗинд.пак=Кинд.пак×Нц инд.пак
где:
НЗинд.пак - нормативные затраты на приобретение индивидуальных противохимических пакетов;
Кинд.пак - количество;
Нц инд.пак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</si>
  <si>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2.4.8.</t>
  </si>
  <si>
    <t>затраты на приобретение запасных частей для мебели</t>
  </si>
  <si>
    <t>НЗзч.меб=Кзч.меб×Нц зч.меб
где:
НЗзч.меб - нормативные затраты на приобретение запасных частей для мебели;
Кзч.меб - количество;
Нц зч.меб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</si>
  <si>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2.4.9.</t>
  </si>
  <si>
    <t>НЗсодс=Нк содсi×Нц содсi 
где:
НЗсодс - нормативные затраты на оказание услуг по сопровождению и охране денежных средств при их транспортировке;
Нк содсi - количество;
Нц содсi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</si>
  <si>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затраты на оказание услуг по обучению персонала</t>
  </si>
  <si>
    <t>НЗобуч =Чраб×Нк обучi×Нц обучi 
где:
НЗобуч - нормативные затраты на оказание услуг по обучению персонала;
Чраб - численность работников;
Нк обучi - количество;
Нц обучi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</si>
  <si>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НЗнот=Нк нотi×Нц нотi 
где:
НЗнот - нормативные затраты на оказание нотариальных услуг;
Нк нотi - количество;
Нц нотi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</si>
  <si>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затраты на оказание услуг по архивной обработке и переплету документов</t>
  </si>
  <si>
    <t>НЗарх=Нк архi×Нц архi 
где:
НЗарх - нормативные затраты на оказание услуг по архивной обработке и переплету документов;
Нк архi - количество;
Нц архi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</si>
  <si>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2.5.5.</t>
  </si>
  <si>
    <t>затраты на оказание услуг по составлению архивной описи</t>
  </si>
  <si>
    <t>НЗархо=Нк архоi×Нц архоi 
где:
НЗархо - нормативные затраты  на оказание услуг по составлению архивной описи
Нк архоi - количество;
Нц архоi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</si>
  <si>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* - расчеты произведены с учетом индексов потребительских цен: на 2022 год – 104,0 %, на 2023 год – 104,1 %, на 2024 год – 104,1 %.</t>
  </si>
  <si>
    <t xml:space="preserve">без НОРМАТИВА, считаем с помощью ИПЦ - расчет - НОРМИРОВАНИЕ  на 2023 год (Реестр цен) + индексация     </t>
  </si>
  <si>
    <t xml:space="preserve">руб. </t>
  </si>
  <si>
    <t xml:space="preserve">у.ед. х индекс потребительских цен </t>
  </si>
  <si>
    <t xml:space="preserve">чел. х индекс потребительских цен </t>
  </si>
  <si>
    <t>шт.  х норматив</t>
  </si>
  <si>
    <t>раз =</t>
  </si>
  <si>
    <t>НЗарх=Нк архi×Нц архi 
где:
НЗарх - нормативные затраты на оказание  услуг по архивной обработке и переплету документов;
Нк архi - количество;
Нц архi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</si>
  <si>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* - расчеты произведены с учетом индексов потребительских цен: на 2023 год – 108,22 %, на 2024 год – 104,87 %, на 2025 год – 104,57 %.</t>
  </si>
  <si>
    <t>затраты на приобретение прочих работ и услуг</t>
  </si>
  <si>
    <t>затраты на приобретение прочих основных средств (телефонный аппарат, стремянка, светильник, калькулятор, вентилятор, счетчик банкнот и т.п.)</t>
  </si>
  <si>
    <t>2.1.4.</t>
  </si>
  <si>
    <t>2.1.5.</t>
  </si>
  <si>
    <t>2.1.6.</t>
  </si>
  <si>
    <t>2.1.7.</t>
  </si>
  <si>
    <t>2.1.8.</t>
  </si>
  <si>
    <t>2.1.9.</t>
  </si>
  <si>
    <t>2.1.10.</t>
  </si>
  <si>
    <t>затраты на перезарядку огнетушителей</t>
  </si>
  <si>
    <t>2.2.5.</t>
  </si>
  <si>
    <t>затраты на приобретение   мебели</t>
  </si>
  <si>
    <t>Затраты на приобретение прочих основных средств для обеспечения деятельности учреждения</t>
  </si>
  <si>
    <t>затраты на приобретение  канцелярских принадлежностей</t>
  </si>
  <si>
    <t>затраты на приобретение  бланочной продукции</t>
  </si>
  <si>
    <t>2.4.10.</t>
  </si>
  <si>
    <t>2.4.11.</t>
  </si>
  <si>
    <t>2.5.6.</t>
  </si>
  <si>
    <t>затраты на оказание услуг по проведению специальной оценки условий труда</t>
  </si>
  <si>
    <t xml:space="preserve">без НОРМАТИВА, считаем с помощью ИПЦ - расчет - НОРМИРОВАНИЕ  на 2023 год + индексация     </t>
  </si>
  <si>
    <t>НЗша=Кша × Нц ша
где:
НЗша - нормативные затраты на приобретение шин для автомобиля;
Кмм - количество;
Нц мм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</si>
  <si>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>НЗбл=Чр×Нц бл
где:
НЗбл - нормативные затраты на приобретение бланочной продукции;
Чр - количество;
Нц бл - норматив цены одной единицы, определяемый в соответствии с положениями статьи 22 Закона  44-ФЗ и рассчитываемый в ценах на очередной финансовый год и на плановый период</t>
  </si>
  <si>
    <t xml:space="preserve">затраты на приобретение огнетушителей </t>
  </si>
  <si>
    <t>НЗпог=Ког×Нк погi×Нц погi 
где:
НЗпог - нормативные затраты на перезарядку огнетушителей;
Ког - количество огнетушителей;
Нк погi - норматив количества планируемых услуг;
Нц погi  - норматив цены затрат на перезарядку огнетушителей,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</si>
  <si>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НЗвуог=Ког×Нк вуогi×Нц вуогi 
где:
НЗвуог - нормативные затраты  по вывозу и утилизации огнетушителей;
Ког - количество огнетушителей;
Нк вуогi - норматив количества планируемых услуг;
Нц вуогi  - норматив цены вывоза и утилизации огнетушителей,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</si>
  <si>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НЗвуок=Кку×Нк вуокi×Нц вуокi 
где:
НЗвуок - нормативные затраты  по вывозу и утилизации огнетушителей;
Ксу - количество услуг;
Нк вуокi - норматив количества планируемых услуг;
Нц вуокi  - норматив цены вывоза и  утилизации огнетушителей,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</si>
  <si>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</t>
  </si>
  <si>
    <t>2.5.7.</t>
  </si>
  <si>
    <t>затраты на оказание услуг по проведению  оценки профессиональных рисков</t>
  </si>
  <si>
    <t>НЗсоут=Нк соутi×Нц соутi 
где:
НЗсоут - нормативные затраты  на оказание услуг проведению специальной оценки условий труда
Нк соутi - количество;
Нц соутi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</si>
  <si>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НЗ опр=Нк опрi×Нц опрi 
где:
НЗ опр - нормативные затраты  на оказание услуг проведению оценки профессиональных рисков
Нк опрi - количество;
Нц  опрi  - норматив цены одной единицы, определяемый в соответствии с положениями статьи 22 Закона  44-ФЗ и рассчитываемый  в ценах на очередной финансовый год и на плановый период</t>
  </si>
  <si>
    <t>затраты на плановое техническое обслуживание и ремонт  автомобиля</t>
  </si>
  <si>
    <t>2.1.11.</t>
  </si>
  <si>
    <t>затраты на перетяжку мебели</t>
  </si>
  <si>
    <t>НЗпм=Ку×Нк пмi×Нц пмi 
где:
НЗпм - нормативные затраты на перетяжку мебели;
Ку - количество услуг;
Нк пмi - норматив количества планируемых услуг;
Нц пмi  - норматив цены затрат на перетяжку мебели,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</si>
  <si>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НЗохр=Нк охрi×Нц охрi
где:
НЗохр - нормативные затраты на оплату услуг охраны объекта;
Нк охрi - норматив количества услуг;
Нц охрi - норматив цены на услуги охраны объекта,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</si>
  <si>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 xml:space="preserve">час </t>
  </si>
  <si>
    <t>авт</t>
  </si>
  <si>
    <t>НЗто охр=Нк то охрi ×Нц то охрi 
где:
НЗто охр - нормативные затраты по техническому обслуживанию охранно-тревожной сигнализации;
Нк то охрi - норматив количества услуг;
Нц то охрi  - норматив цены технического обслуживания охранно-тревожной сигнализации, определяемый в соответствии с положениями статьи 22 Закона  44-ФЗ и рассчитываемый  в ценах на очередной финансовый год и на плановый период.</t>
  </si>
  <si>
    <t>НЗрск=Кск×Нк рскi×Нц рскi 
где:
НЗрск - нормативные затраты  по ремонту систем кондиционирования;
Кск - количество  услуг;
Нк рскi - норматив количества ремонтов систем кондиционирования;
Нц рскi  - норматив цены ремонта систем кондиционирования,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</si>
  <si>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r>
      <t xml:space="preserve">на </t>
    </r>
    <r>
      <rPr>
        <b/>
        <sz val="14"/>
        <color rgb="FF0000FF"/>
        <rFont val="Times New Roman"/>
        <family val="1"/>
        <charset val="204"/>
      </rPr>
      <t>2024</t>
    </r>
    <r>
      <rPr>
        <b/>
        <sz val="14"/>
        <color theme="1"/>
        <rFont val="Times New Roman"/>
        <family val="1"/>
        <charset val="204"/>
      </rPr>
      <t xml:space="preserve"> год и на плановый период </t>
    </r>
    <r>
      <rPr>
        <b/>
        <sz val="14"/>
        <color rgb="FF0000FF"/>
        <rFont val="Times New Roman"/>
        <family val="1"/>
        <charset val="204"/>
      </rPr>
      <t>2025</t>
    </r>
    <r>
      <rPr>
        <b/>
        <sz val="14"/>
        <color theme="1"/>
        <rFont val="Times New Roman"/>
        <family val="1"/>
        <charset val="204"/>
      </rPr>
      <t xml:space="preserve"> и </t>
    </r>
    <r>
      <rPr>
        <b/>
        <sz val="14"/>
        <color rgb="FF0000FF"/>
        <rFont val="Times New Roman"/>
        <family val="1"/>
        <charset val="204"/>
      </rPr>
      <t>2026</t>
    </r>
    <r>
      <rPr>
        <b/>
        <sz val="14"/>
        <color theme="1"/>
        <rFont val="Times New Roman"/>
        <family val="1"/>
        <charset val="204"/>
      </rPr>
      <t xml:space="preserve"> годов</t>
    </r>
  </si>
  <si>
    <t>норматив на 2026 год :</t>
  </si>
  <si>
    <t>норматив по оргтехнике на 2026 год :</t>
  </si>
  <si>
    <t>п. 15  НОРМАТИВА   расчет по нормативу на подписку</t>
  </si>
  <si>
    <t>затраты на приобретение  комплекта мебели</t>
  </si>
  <si>
    <r>
      <t>п. 12.1(</t>
    </r>
    <r>
      <rPr>
        <b/>
        <i/>
        <sz val="18"/>
        <rFont val="Times New Roman"/>
        <family val="1"/>
        <charset val="204"/>
      </rPr>
      <t>от п.6</t>
    </r>
    <r>
      <rPr>
        <i/>
        <sz val="14"/>
        <rFont val="Times New Roman"/>
        <family val="1"/>
        <charset val="204"/>
      </rPr>
      <t>) НОРМАТИВА расчет по нормативу на эл.пишущую машинку, мфу, принтер, копир, ксерокс, копировальный аппарат, финишер, сканер</t>
    </r>
  </si>
  <si>
    <t>* - расчеты произведены с учетом индексов потребительских цен:  на 2024 год – 104,87 %, на 2025 год – 104,57 %, на 2026 год – 104,57 %.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</si>
  <si>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</si>
  <si>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НЗдет орг= Нц дет ор × (Нц орг × (Чпр/(Нспи орг)+Чпл))
где:
НЗдет орг - нормативные затраты на приобретение деталей для содержания принтеров, многофункциональных устройств и копировальных аппаратов (оргтехники);
Нц дет ор - норматив цены приобретения деталей для содержания принтеров, многофункциональных устройств и копировальных аппаратов (оргтехники);
Нц орг - норматив цены оргтехники;
Чпр -  прогнозируемая численность работников;
Нспи орг - норматив срока полезного использования оргтехники;
Чпл - количество должностей, планируемых к замещению</t>
  </si>
  <si>
    <t>затраты на  техническое обслуживание и ремонт  транспортных средств</t>
  </si>
  <si>
    <t>НЗто тс=Кавт×Нк то тстi×Нц то тсi 
где:
НЗто тс - нормативные затраты на  техническое обслуживание и ремонт  транспортных средств;
Ктс - количество обслуживаемых транспортных средств;
Нк то тсi - норматив количества планируемых технических обслуживаний транспортных средств;
Нц то тсi  - норматив цены технического обслуживания транспортных средств,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</si>
  <si>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>без НОРМАТИВА, считаем с помощью ИПЦ - расчет - НОРМИРОВАНИЕ  на 2023 год (Реестр цен) + индексация     1,0495</t>
  </si>
  <si>
    <t>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</t>
  </si>
  <si>
    <t>Затраты на информационно-коммуникационные технологии</t>
  </si>
  <si>
    <t>Затраты на услуги связи</t>
  </si>
  <si>
    <t>Затраты на оплату услуг почтовой связи</t>
  </si>
  <si>
    <t>без НОРМАТИВА, считаем с помощью ИПЦ - расчет на 2024 год + индексация</t>
  </si>
  <si>
    <t>у.ед. х</t>
  </si>
  <si>
    <t>у.ед.</t>
  </si>
  <si>
    <t>НЗпс=Кпс×Нц псi 
где:
НЗпс - нормативные Затраты на оплату услуг почтовой связи
Кпс - количество  услуг;
 Нц псi  - норматив цены Затраты на оплату услуг почтовой связи, определяемый в соответствии с положениями статьи 22 Закона  44-ФЗ и рассчитываемый  в ценах на очередной финансовый год и на плановый период;</t>
  </si>
  <si>
    <t xml:space="preserve">без НОРМАТИВА, считаем с помощью ИПЦ - расчет - НОРМИРОВАНИЕ  на 2023 год + индексация  (затраты на приобретение шин для автомобиля)  </t>
  </si>
  <si>
    <t>СИЗ включают в себя средства защиты органов дыхания и медицинские средства.</t>
  </si>
  <si>
    <t xml:space="preserve">без НОРМАТИВА, считаем с помощью ИПЦ - расчет - НОРМИРОВАНИЕ  на 2024 год + индексация     </t>
  </si>
  <si>
    <t>без НОРМАТИВА, считаем с помощью ИПЦ - расчет - НОРМИРОВАНИЕ  на 2024 год + индексация</t>
  </si>
  <si>
    <t>2.2.6.</t>
  </si>
  <si>
    <t>2.2.7.</t>
  </si>
  <si>
    <t>2.2.8.</t>
  </si>
  <si>
    <t>2.3.5.</t>
  </si>
  <si>
    <t>2.5.5.1.</t>
  </si>
  <si>
    <t>2.5.5.2.</t>
  </si>
  <si>
    <t>2.5.5.3.</t>
  </si>
  <si>
    <t>2.5.5.4.</t>
  </si>
  <si>
    <t>2.5.5.5.</t>
  </si>
  <si>
    <t>2.5.5.6.</t>
  </si>
  <si>
    <t>2.5.5.7.</t>
  </si>
  <si>
    <t>2.3.6.</t>
  </si>
  <si>
    <t>2.3.7.</t>
  </si>
  <si>
    <t>2.3.8.</t>
  </si>
  <si>
    <t>2.3.9.</t>
  </si>
  <si>
    <t>2.3.10.</t>
  </si>
  <si>
    <t>2.3.11.</t>
  </si>
  <si>
    <t>2.3.12.</t>
  </si>
  <si>
    <t>Затраты на приобретение противогазов</t>
  </si>
  <si>
    <t>Затраты на приобретение масок медицинских одноразовых</t>
  </si>
  <si>
    <t>Затраты на приобретение респираторов</t>
  </si>
  <si>
    <t>Затраты на приобретение материальных запасов в сфере информационно-коммуникационных технологий</t>
  </si>
  <si>
    <t>Затраты на приобретение других запасных частей для вычислительной техники</t>
  </si>
  <si>
    <t>Затраты на приобретение деталей для содержания принтеров, многофункциональных устройств и копировальных аппаратов (оргтехники)</t>
  </si>
  <si>
    <t>Затраты на содержание имущества</t>
  </si>
  <si>
    <t>Затраты на  техническое обслуживание и ремонт  транспортных средств</t>
  </si>
  <si>
    <t>Затраты на  техническое обслуживание и ремонт систем кондиционирования</t>
  </si>
  <si>
    <t>Затраты на  техническое обслуживание  счетчика банкнот</t>
  </si>
  <si>
    <t>Затраты на вывоз и утилизацию отработанных картриджей</t>
  </si>
  <si>
    <t>Затраты на вывоз и утилизацию огнетушителей</t>
  </si>
  <si>
    <t>Затраты на перезарядку огнетушителей</t>
  </si>
  <si>
    <t>Затраты на перетяжку мебели</t>
  </si>
  <si>
    <t>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</t>
  </si>
  <si>
    <t>Затраты на приобретение периодических печатных изданий</t>
  </si>
  <si>
    <t>Затраты на проведение периодического медицинского осмотра</t>
  </si>
  <si>
    <t>Затраты на проведение предрейсового медицинского осмотра</t>
  </si>
  <si>
    <t>Затраты на оплату услуг охраны объекта</t>
  </si>
  <si>
    <t>Затраты на приобретение полисов обязательного страхования гражданской ответственности владельцев транспортных средств</t>
  </si>
  <si>
    <r>
      <t xml:space="preserve">Затраты на оказание </t>
    </r>
    <r>
      <rPr>
        <sz val="14"/>
        <color rgb="FFFF0000"/>
        <rFont val="Times New Roman"/>
        <family val="1"/>
        <charset val="204"/>
      </rPr>
      <t>услуг по  охране имущества при его</t>
    </r>
    <r>
      <rPr>
        <sz val="14"/>
        <color rgb="FF000001"/>
        <rFont val="Times New Roman"/>
        <family val="1"/>
        <charset val="204"/>
      </rPr>
      <t xml:space="preserve"> транспортировке</t>
    </r>
  </si>
  <si>
    <t>Затраты на оказание услуг по обучению персонала</t>
  </si>
  <si>
    <t>Затраты на оказание нотариальных услуг</t>
  </si>
  <si>
    <t>Затраты на оказание  услуг по архивной обработке и переплету документов</t>
  </si>
  <si>
    <t>Затраты на оказание услуг по составлению архивной описи</t>
  </si>
  <si>
    <t>Затраты на оказание услуг по проведению специальной оценки условий труда</t>
  </si>
  <si>
    <t>Затраты на оказание услуг по проведению  оценки профессиональных рисков</t>
  </si>
  <si>
    <t>Затраты на приобретение основных средств</t>
  </si>
  <si>
    <t>Затраты на приобретение   мебели</t>
  </si>
  <si>
    <t>Затраты на приобретение систем кондиционирования</t>
  </si>
  <si>
    <t>Затраты на приобретение материальных запасов, не отнесенные к затратам, указанным в подпунктах "а"-"ж" пункта 6 Общих правил:</t>
  </si>
  <si>
    <t>Затраты на приобретение  бланочной продукции</t>
  </si>
  <si>
    <t>Затраты на приобретение  канцелярских принадлежностей</t>
  </si>
  <si>
    <t>Затраты на приобретение горюче-смазочных материалов</t>
  </si>
  <si>
    <t>Затраты на приобретение запасных частей для транспортных средств</t>
  </si>
  <si>
    <t>Затраты на приобретение материальных запасов для нужд гражданской обороны</t>
  </si>
  <si>
    <t>Затраты на приобретение комплектов индивидуальной медицинской гражданской защиты</t>
  </si>
  <si>
    <t>Затраты на приобретение аптечки первой помощи</t>
  </si>
  <si>
    <t>Затраты на приобретение  пакетов перевязочных индивидуальных</t>
  </si>
  <si>
    <t>Затраты на приобретение индивидуальных противохимических пакетов</t>
  </si>
  <si>
    <t>2.2.9.</t>
  </si>
  <si>
    <t>Затраты на технический осмотр автомобиля</t>
  </si>
  <si>
    <t>Затраты на  техническое обслуживание охранно-тревожной сигнализации</t>
  </si>
  <si>
    <t>Нормативные затраты на обеспечение функций Санкт-Петербургское государственное казенное учреждение</t>
  </si>
  <si>
    <t>на 2024 год и на плановый период 2025 и 2026 годов</t>
  </si>
  <si>
    <t>Приложение к распоряжению администрации Кировского района Санкт-Петербурга от______________№_____________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</si>
</sst>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_р_._-;\-* #,##0_р_._-;_-* &quot;-&quot;_р_._-;_-@_-"/>
    <numFmt numFmtId="165" formatCode="#,##0.000"/>
    <numFmt numFmtId="166" formatCode="0.000000"/>
    <numFmt numFmtId="167" formatCode="#,##0.0000"/>
    <numFmt numFmtId="168" formatCode="#,##0.0"/>
  </numFmts>
  <fonts count="6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u/>
      <sz val="14"/>
      <color rgb="FF0000FF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</font>
    <font>
      <sz val="10"/>
      <color indexed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Arial"/>
      <family val="2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color rgb="FF00000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8"/>
      <color theme="0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rgb="FF0000FF"/>
      <name val="Times New Roman"/>
      <family val="1"/>
      <charset val="204"/>
    </font>
    <font>
      <b/>
      <i/>
      <sz val="11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name val="Calibri"/>
      <family val="2"/>
      <scheme val="minor"/>
    </font>
    <font>
      <b/>
      <sz val="14"/>
      <color rgb="FF0000FF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FF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0001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color theme="0"/>
      <name val="Times New Roman"/>
      <family val="1"/>
      <charset val="204"/>
    </font>
    <font>
      <sz val="12"/>
      <color indexed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rgb="FF0000FF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4"/>
      <color rgb="FFFF0000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1"/>
      <name val="Times New Roman"/>
      <family val="1"/>
      <charset val="204"/>
    </font>
    <font>
      <sz val="14"/>
      <color rgb="FF00000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i/>
      <sz val="14"/>
      <name val="Times New Roman"/>
      <family val="1"/>
      <charset val="204"/>
    </font>
    <font>
      <b/>
      <i/>
      <sz val="18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28"/>
      <color theme="1"/>
      <name val="Times New Roman"/>
      <family val="1"/>
      <charset val="204"/>
    </font>
  </fonts>
  <fills count="1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8">
    <xf numFmtId="0" fontId="0" fillId="0" borderId="0"/>
    <xf numFmtId="0" fontId="12" fillId="0" borderId="0"/>
    <xf numFmtId="9" fontId="12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17" fillId="0" borderId="0"/>
    <xf numFmtId="0" fontId="15" fillId="0" borderId="0"/>
    <xf numFmtId="0" fontId="17" fillId="0" borderId="0"/>
    <xf numFmtId="0" fontId="12" fillId="0" borderId="0"/>
    <xf numFmtId="0" fontId="12" fillId="0" borderId="0"/>
    <xf numFmtId="0" fontId="18" fillId="0" borderId="0"/>
    <xf numFmtId="0" fontId="12" fillId="0" borderId="0"/>
    <xf numFmtId="0" fontId="19" fillId="0" borderId="0"/>
    <xf numFmtId="0" fontId="17" fillId="0" borderId="0"/>
    <xf numFmtId="0" fontId="20" fillId="0" borderId="0">
      <alignment vertical="top"/>
    </xf>
    <xf numFmtId="0" fontId="17" fillId="0" borderId="0"/>
    <xf numFmtId="0" fontId="20" fillId="0" borderId="0"/>
    <xf numFmtId="0" fontId="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0" fillId="0" borderId="0"/>
    <xf numFmtId="0" fontId="20" fillId="0" borderId="0"/>
    <xf numFmtId="9" fontId="12" fillId="0" borderId="0" applyFont="0" applyFill="0" applyBorder="0" applyAlignment="0" applyProtection="0"/>
    <xf numFmtId="9" fontId="18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1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685">
    <xf numFmtId="0" fontId="0" fillId="0" borderId="0" xfId="0"/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left" vertical="center" wrapText="1"/>
    </xf>
    <xf numFmtId="0" fontId="28" fillId="0" borderId="0" xfId="0" applyFont="1" applyFill="1" applyAlignment="1">
      <alignment horizontal="right"/>
    </xf>
    <xf numFmtId="4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8" fillId="0" borderId="0" xfId="0" applyFont="1" applyFill="1"/>
    <xf numFmtId="0" fontId="14" fillId="0" borderId="0" xfId="0" applyFont="1" applyFill="1" applyAlignment="1">
      <alignment horizontal="justify" vertical="center" wrapText="1"/>
    </xf>
    <xf numFmtId="14" fontId="33" fillId="0" borderId="0" xfId="0" applyNumberFormat="1" applyFont="1" applyFill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/>
    </xf>
    <xf numFmtId="4" fontId="25" fillId="0" borderId="1" xfId="0" applyNumberFormat="1" applyFont="1" applyFill="1" applyBorder="1" applyAlignment="1">
      <alignment horizontal="center" vertical="center"/>
    </xf>
    <xf numFmtId="4" fontId="22" fillId="0" borderId="1" xfId="0" applyNumberFormat="1" applyFont="1" applyFill="1" applyBorder="1" applyAlignment="1">
      <alignment horizontal="center" vertical="center"/>
    </xf>
    <xf numFmtId="4" fontId="27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justify" vertical="center"/>
    </xf>
    <xf numFmtId="0" fontId="10" fillId="0" borderId="1" xfId="0" applyFont="1" applyFill="1" applyBorder="1" applyAlignment="1">
      <alignment horizontal="center" vertical="center"/>
    </xf>
    <xf numFmtId="167" fontId="11" fillId="0" borderId="1" xfId="0" applyNumberFormat="1" applyFont="1" applyFill="1" applyBorder="1" applyAlignment="1">
      <alignment horizontal="center" vertical="center"/>
    </xf>
    <xf numFmtId="4" fontId="32" fillId="0" borderId="1" xfId="0" applyNumberFormat="1" applyFont="1" applyFill="1" applyBorder="1" applyAlignment="1">
      <alignment horizontal="center" vertical="center"/>
    </xf>
    <xf numFmtId="4" fontId="31" fillId="0" borderId="1" xfId="0" applyNumberFormat="1" applyFont="1" applyFill="1" applyBorder="1" applyAlignment="1">
      <alignment horizontal="right" vertical="center"/>
    </xf>
    <xf numFmtId="165" fontId="31" fillId="0" borderId="1" xfId="0" applyNumberFormat="1" applyFont="1" applyFill="1" applyBorder="1" applyAlignment="1">
      <alignment horizontal="center" vertical="center"/>
    </xf>
    <xf numFmtId="166" fontId="7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left" wrapText="1"/>
    </xf>
    <xf numFmtId="4" fontId="7" fillId="0" borderId="4" xfId="0" applyNumberFormat="1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top" wrapText="1"/>
    </xf>
    <xf numFmtId="0" fontId="9" fillId="0" borderId="5" xfId="0" applyFont="1" applyFill="1" applyBorder="1" applyAlignment="1">
      <alignment horizontal="left" vertical="center" wrapText="1"/>
    </xf>
    <xf numFmtId="4" fontId="32" fillId="0" borderId="1" xfId="0" applyNumberFormat="1" applyFont="1" applyFill="1" applyBorder="1" applyAlignment="1">
      <alignment horizontal="left" vertical="center"/>
    </xf>
    <xf numFmtId="0" fontId="29" fillId="0" borderId="1" xfId="0" applyFont="1" applyFill="1" applyBorder="1" applyAlignment="1">
      <alignment horizontal="left" vertical="center" wrapText="1"/>
    </xf>
    <xf numFmtId="0" fontId="32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center" vertical="center"/>
    </xf>
    <xf numFmtId="4" fontId="7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49" fontId="26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7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67" fontId="11" fillId="2" borderId="1" xfId="0" applyNumberFormat="1" applyFont="1" applyFill="1" applyBorder="1" applyAlignment="1">
      <alignment horizontal="center" vertical="center"/>
    </xf>
    <xf numFmtId="4" fontId="25" fillId="2" borderId="1" xfId="0" applyNumberFormat="1" applyFont="1" applyFill="1" applyBorder="1" applyAlignment="1">
      <alignment horizontal="center" vertical="center"/>
    </xf>
    <xf numFmtId="4" fontId="22" fillId="2" borderId="1" xfId="0" applyNumberFormat="1" applyFont="1" applyFill="1" applyBorder="1" applyAlignment="1">
      <alignment horizontal="center" vertical="center"/>
    </xf>
    <xf numFmtId="4" fontId="2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" fontId="31" fillId="2" borderId="1" xfId="0" applyNumberFormat="1" applyFont="1" applyFill="1" applyBorder="1" applyAlignment="1">
      <alignment horizontal="right" vertical="center"/>
    </xf>
    <xf numFmtId="165" fontId="31" fillId="2" borderId="1" xfId="0" applyNumberFormat="1" applyFont="1" applyFill="1" applyBorder="1" applyAlignment="1">
      <alignment horizontal="center" vertical="center"/>
    </xf>
    <xf numFmtId="49" fontId="37" fillId="2" borderId="1" xfId="0" applyNumberFormat="1" applyFont="1" applyFill="1" applyBorder="1" applyAlignment="1">
      <alignment horizontal="center" vertical="center" wrapText="1"/>
    </xf>
    <xf numFmtId="166" fontId="7" fillId="2" borderId="0" xfId="0" applyNumberFormat="1" applyFont="1" applyFill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4" fontId="10" fillId="2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" fontId="7" fillId="2" borderId="3" xfId="0" applyNumberFormat="1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center" wrapText="1"/>
    </xf>
    <xf numFmtId="4" fontId="32" fillId="2" borderId="1" xfId="0" applyNumberFormat="1" applyFont="1" applyFill="1" applyBorder="1" applyAlignment="1">
      <alignment horizontal="left" vertical="center"/>
    </xf>
    <xf numFmtId="0" fontId="32" fillId="2" borderId="0" xfId="0" applyFont="1" applyFill="1" applyAlignment="1">
      <alignment horizontal="left" vertical="center"/>
    </xf>
    <xf numFmtId="0" fontId="30" fillId="2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32" fillId="2" borderId="1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justify" vertical="center"/>
    </xf>
    <xf numFmtId="0" fontId="14" fillId="2" borderId="0" xfId="0" applyFont="1" applyFill="1" applyAlignment="1">
      <alignment horizontal="justify" vertical="center" wrapText="1"/>
    </xf>
    <xf numFmtId="0" fontId="28" fillId="2" borderId="0" xfId="0" applyFont="1" applyFill="1"/>
    <xf numFmtId="0" fontId="28" fillId="2" borderId="0" xfId="0" applyFont="1" applyFill="1" applyAlignment="1">
      <alignment horizontal="right"/>
    </xf>
    <xf numFmtId="14" fontId="33" fillId="2" borderId="0" xfId="0" applyNumberFormat="1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38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" fontId="39" fillId="2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vertical="center" wrapText="1"/>
    </xf>
    <xf numFmtId="4" fontId="34" fillId="2" borderId="2" xfId="0" applyNumberFormat="1" applyFont="1" applyFill="1" applyBorder="1" applyAlignment="1">
      <alignment horizontal="center" vertical="center" wrapText="1"/>
    </xf>
    <xf numFmtId="4" fontId="3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43" fillId="2" borderId="1" xfId="0" applyFont="1" applyFill="1" applyBorder="1" applyAlignment="1">
      <alignment horizontal="left" vertical="center" wrapText="1"/>
    </xf>
    <xf numFmtId="0" fontId="44" fillId="2" borderId="1" xfId="0" applyFont="1" applyFill="1" applyBorder="1" applyAlignment="1">
      <alignment horizontal="left" vertical="center" wrapText="1"/>
    </xf>
    <xf numFmtId="0" fontId="44" fillId="2" borderId="1" xfId="0" applyFont="1" applyFill="1" applyBorder="1" applyAlignment="1">
      <alignment horizontal="left" vertical="center" wrapText="1"/>
    </xf>
    <xf numFmtId="0" fontId="40" fillId="2" borderId="1" xfId="0" applyFont="1" applyFill="1" applyBorder="1" applyAlignment="1">
      <alignment horizontal="left" vertical="center" wrapText="1"/>
    </xf>
    <xf numFmtId="0" fontId="45" fillId="2" borderId="2" xfId="0" applyFont="1" applyFill="1" applyBorder="1" applyAlignment="1">
      <alignment horizontal="left" vertical="center" wrapText="1"/>
    </xf>
    <xf numFmtId="0" fontId="44" fillId="2" borderId="2" xfId="0" applyFont="1" applyFill="1" applyBorder="1" applyAlignment="1">
      <alignment horizontal="left" wrapText="1"/>
    </xf>
    <xf numFmtId="0" fontId="44" fillId="2" borderId="5" xfId="0" applyFont="1" applyFill="1" applyBorder="1" applyAlignment="1">
      <alignment horizontal="left" vertical="top" wrapText="1"/>
    </xf>
    <xf numFmtId="0" fontId="44" fillId="2" borderId="5" xfId="0" applyFont="1" applyFill="1" applyBorder="1" applyAlignment="1">
      <alignment horizontal="left" vertical="center" wrapText="1"/>
    </xf>
    <xf numFmtId="0" fontId="44" fillId="2" borderId="2" xfId="0" applyFont="1" applyFill="1" applyBorder="1" applyAlignment="1">
      <alignment horizontal="left" vertical="center" wrapText="1"/>
    </xf>
    <xf numFmtId="0" fontId="44" fillId="2" borderId="2" xfId="0" applyFont="1" applyFill="1" applyBorder="1" applyAlignment="1">
      <alignment horizontal="left" vertical="center" wrapText="1"/>
    </xf>
    <xf numFmtId="0" fontId="44" fillId="2" borderId="5" xfId="0" applyFont="1" applyFill="1" applyBorder="1" applyAlignment="1">
      <alignment horizontal="left" vertic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" fontId="40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10" fillId="6" borderId="1" xfId="0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168" fontId="11" fillId="2" borderId="1" xfId="0" applyNumberFormat="1" applyFont="1" applyFill="1" applyBorder="1" applyAlignment="1">
      <alignment horizontal="center" vertical="center"/>
    </xf>
    <xf numFmtId="3" fontId="11" fillId="2" borderId="1" xfId="0" applyNumberFormat="1" applyFont="1" applyFill="1" applyBorder="1" applyAlignment="1">
      <alignment horizontal="center" vertical="center"/>
    </xf>
    <xf numFmtId="4" fontId="11" fillId="6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1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38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left" vertical="center" wrapText="1"/>
    </xf>
    <xf numFmtId="4" fontId="7" fillId="7" borderId="1" xfId="0" applyNumberFormat="1" applyFont="1" applyFill="1" applyBorder="1" applyAlignment="1">
      <alignment horizontal="center" vertical="center" wrapText="1"/>
    </xf>
    <xf numFmtId="49" fontId="26" fillId="7" borderId="1" xfId="0" applyNumberFormat="1" applyFont="1" applyFill="1" applyBorder="1" applyAlignment="1">
      <alignment horizontal="center" vertical="center" wrapText="1"/>
    </xf>
    <xf numFmtId="4" fontId="14" fillId="7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left" vertical="center" wrapText="1"/>
    </xf>
    <xf numFmtId="4" fontId="7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4" fontId="9" fillId="4" borderId="1" xfId="0" applyNumberFormat="1" applyFont="1" applyFill="1" applyBorder="1" applyAlignment="1">
      <alignment horizontal="center" vertical="center"/>
    </xf>
    <xf numFmtId="4" fontId="25" fillId="4" borderId="1" xfId="0" applyNumberFormat="1" applyFont="1" applyFill="1" applyBorder="1" applyAlignment="1">
      <alignment horizontal="center" vertical="center"/>
    </xf>
    <xf numFmtId="4" fontId="22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" fontId="10" fillId="4" borderId="1" xfId="0" applyNumberFormat="1" applyFont="1" applyFill="1" applyBorder="1" applyAlignment="1">
      <alignment horizontal="center" vertical="center" wrapText="1"/>
    </xf>
    <xf numFmtId="4" fontId="10" fillId="4" borderId="1" xfId="0" applyNumberFormat="1" applyFont="1" applyFill="1" applyBorder="1" applyAlignment="1">
      <alignment horizontal="center" vertical="center"/>
    </xf>
    <xf numFmtId="4" fontId="40" fillId="4" borderId="1" xfId="0" applyNumberFormat="1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43" fillId="7" borderId="1" xfId="0" applyFont="1" applyFill="1" applyBorder="1" applyAlignment="1">
      <alignment horizontal="left" vertical="center" wrapText="1"/>
    </xf>
    <xf numFmtId="4" fontId="13" fillId="7" borderId="1" xfId="0" applyNumberFormat="1" applyFont="1" applyFill="1" applyBorder="1" applyAlignment="1">
      <alignment horizontal="center" vertical="center" wrapText="1"/>
    </xf>
    <xf numFmtId="4" fontId="39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40" fillId="7" borderId="1" xfId="0" applyFont="1" applyFill="1" applyBorder="1" applyAlignment="1">
      <alignment horizontal="left" vertical="center" wrapText="1"/>
    </xf>
    <xf numFmtId="4" fontId="40" fillId="7" borderId="1" xfId="0" applyNumberFormat="1" applyFont="1" applyFill="1" applyBorder="1" applyAlignment="1">
      <alignment horizontal="center" vertical="center" wrapText="1"/>
    </xf>
    <xf numFmtId="4" fontId="10" fillId="7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/>
    </xf>
    <xf numFmtId="4" fontId="9" fillId="7" borderId="1" xfId="0" applyNumberFormat="1" applyFont="1" applyFill="1" applyBorder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4" fontId="31" fillId="7" borderId="1" xfId="0" applyNumberFormat="1" applyFont="1" applyFill="1" applyBorder="1" applyAlignment="1">
      <alignment horizontal="right" vertical="center"/>
    </xf>
    <xf numFmtId="165" fontId="31" fillId="7" borderId="1" xfId="0" applyNumberFormat="1" applyFont="1" applyFill="1" applyBorder="1" applyAlignment="1">
      <alignment horizontal="center" vertical="center"/>
    </xf>
    <xf numFmtId="0" fontId="10" fillId="7" borderId="1" xfId="0" applyFont="1" applyFill="1" applyBorder="1" applyAlignment="1">
      <alignment horizontal="center" vertical="center"/>
    </xf>
    <xf numFmtId="4" fontId="10" fillId="7" borderId="1" xfId="0" applyNumberFormat="1" applyFont="1" applyFill="1" applyBorder="1" applyAlignment="1">
      <alignment horizontal="center" vertical="center"/>
    </xf>
    <xf numFmtId="167" fontId="11" fillId="7" borderId="1" xfId="0" applyNumberFormat="1" applyFont="1" applyFill="1" applyBorder="1" applyAlignment="1">
      <alignment horizontal="center" vertical="center"/>
    </xf>
    <xf numFmtId="4" fontId="25" fillId="7" borderId="1" xfId="0" applyNumberFormat="1" applyFont="1" applyFill="1" applyBorder="1" applyAlignment="1">
      <alignment horizontal="center" vertical="center"/>
    </xf>
    <xf numFmtId="4" fontId="22" fillId="7" borderId="1" xfId="0" applyNumberFormat="1" applyFont="1" applyFill="1" applyBorder="1" applyAlignment="1">
      <alignment horizontal="center" vertical="center"/>
    </xf>
    <xf numFmtId="4" fontId="27" fillId="7" borderId="1" xfId="0" applyNumberFormat="1" applyFont="1" applyFill="1" applyBorder="1" applyAlignment="1">
      <alignment horizontal="center" vertical="center"/>
    </xf>
    <xf numFmtId="4" fontId="11" fillId="7" borderId="1" xfId="0" applyNumberFormat="1" applyFont="1" applyFill="1" applyBorder="1" applyAlignment="1">
      <alignment horizontal="center" vertical="center" wrapText="1"/>
    </xf>
    <xf numFmtId="49" fontId="37" fillId="7" borderId="1" xfId="0" applyNumberFormat="1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left" vertical="center" wrapText="1"/>
    </xf>
    <xf numFmtId="4" fontId="11" fillId="9" borderId="1" xfId="0" applyNumberFormat="1" applyFont="1" applyFill="1" applyBorder="1" applyAlignment="1">
      <alignment horizontal="center" vertical="center" wrapText="1"/>
    </xf>
    <xf numFmtId="4" fontId="40" fillId="9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11" fillId="9" borderId="0" xfId="0" applyFont="1" applyFill="1" applyAlignment="1">
      <alignment horizontal="center" vertical="center"/>
    </xf>
    <xf numFmtId="4" fontId="10" fillId="9" borderId="1" xfId="0" applyNumberFormat="1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 vertical="center"/>
    </xf>
    <xf numFmtId="4" fontId="11" fillId="9" borderId="1" xfId="0" applyNumberFormat="1" applyFont="1" applyFill="1" applyBorder="1" applyAlignment="1">
      <alignment horizontal="center" vertical="center"/>
    </xf>
    <xf numFmtId="4" fontId="9" fillId="9" borderId="1" xfId="0" applyNumberFormat="1" applyFont="1" applyFill="1" applyBorder="1" applyAlignment="1">
      <alignment horizontal="center" vertical="center"/>
    </xf>
    <xf numFmtId="0" fontId="7" fillId="9" borderId="0" xfId="0" applyFont="1" applyFill="1" applyAlignment="1">
      <alignment horizontal="center" vertical="center"/>
    </xf>
    <xf numFmtId="4" fontId="31" fillId="9" borderId="1" xfId="0" applyNumberFormat="1" applyFont="1" applyFill="1" applyBorder="1" applyAlignment="1">
      <alignment horizontal="right" vertical="center"/>
    </xf>
    <xf numFmtId="165" fontId="31" fillId="9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167" fontId="11" fillId="9" borderId="1" xfId="0" applyNumberFormat="1" applyFont="1" applyFill="1" applyBorder="1" applyAlignment="1">
      <alignment horizontal="center" vertical="center"/>
    </xf>
    <xf numFmtId="4" fontId="25" fillId="9" borderId="1" xfId="0" applyNumberFormat="1" applyFont="1" applyFill="1" applyBorder="1" applyAlignment="1">
      <alignment horizontal="center" vertical="center"/>
    </xf>
    <xf numFmtId="4" fontId="22" fillId="9" borderId="1" xfId="0" applyNumberFormat="1" applyFont="1" applyFill="1" applyBorder="1" applyAlignment="1">
      <alignment horizontal="center" vertical="center"/>
    </xf>
    <xf numFmtId="4" fontId="27" fillId="9" borderId="1" xfId="0" applyNumberFormat="1" applyFont="1" applyFill="1" applyBorder="1" applyAlignment="1">
      <alignment horizontal="center" vertical="center"/>
    </xf>
    <xf numFmtId="0" fontId="41" fillId="9" borderId="1" xfId="0" applyFont="1" applyFill="1" applyBorder="1" applyAlignment="1">
      <alignment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left" wrapText="1"/>
    </xf>
    <xf numFmtId="4" fontId="7" fillId="7" borderId="4" xfId="0" applyNumberFormat="1" applyFont="1" applyFill="1" applyBorder="1" applyAlignment="1">
      <alignment horizontal="center" vertical="center" wrapText="1"/>
    </xf>
    <xf numFmtId="4" fontId="34" fillId="7" borderId="1" xfId="0" applyNumberFormat="1" applyFont="1" applyFill="1" applyBorder="1" applyAlignment="1">
      <alignment horizontal="center" vertical="center" wrapText="1"/>
    </xf>
    <xf numFmtId="4" fontId="7" fillId="7" borderId="3" xfId="0" applyNumberFormat="1" applyFont="1" applyFill="1" applyBorder="1" applyAlignment="1">
      <alignment horizontal="center" vertical="center" wrapText="1"/>
    </xf>
    <xf numFmtId="0" fontId="44" fillId="7" borderId="5" xfId="0" applyFont="1" applyFill="1" applyBorder="1" applyAlignment="1">
      <alignment horizontal="left" vertical="center" wrapText="1"/>
    </xf>
    <xf numFmtId="0" fontId="9" fillId="7" borderId="5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44" fillId="7" borderId="2" xfId="0" applyFont="1" applyFill="1" applyBorder="1" applyAlignment="1">
      <alignment horizontal="left" vertical="center" wrapText="1"/>
    </xf>
    <xf numFmtId="4" fontId="34" fillId="7" borderId="2" xfId="0" applyNumberFormat="1" applyFon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horizontal="left" vertical="center" wrapText="1"/>
    </xf>
    <xf numFmtId="4" fontId="10" fillId="10" borderId="1" xfId="0" applyNumberFormat="1" applyFont="1" applyFill="1" applyBorder="1" applyAlignment="1">
      <alignment horizontal="center" vertical="center" wrapText="1"/>
    </xf>
    <xf numFmtId="0" fontId="9" fillId="10" borderId="1" xfId="0" applyFont="1" applyFill="1" applyBorder="1" applyAlignment="1">
      <alignment horizontal="left" vertical="center" wrapText="1"/>
    </xf>
    <xf numFmtId="0" fontId="7" fillId="10" borderId="0" xfId="0" applyFont="1" applyFill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4" fontId="11" fillId="10" borderId="1" xfId="0" applyNumberFormat="1" applyFont="1" applyFill="1" applyBorder="1" applyAlignment="1">
      <alignment horizontal="center" vertical="center"/>
    </xf>
    <xf numFmtId="4" fontId="9" fillId="10" borderId="1" xfId="0" applyNumberFormat="1" applyFont="1" applyFill="1" applyBorder="1" applyAlignment="1">
      <alignment horizontal="center" vertical="center"/>
    </xf>
    <xf numFmtId="4" fontId="10" fillId="10" borderId="1" xfId="0" applyNumberFormat="1" applyFont="1" applyFill="1" applyBorder="1" applyAlignment="1">
      <alignment horizontal="center" vertical="center"/>
    </xf>
    <xf numFmtId="0" fontId="10" fillId="10" borderId="1" xfId="0" applyFont="1" applyFill="1" applyBorder="1" applyAlignment="1">
      <alignment horizontal="center" vertical="center"/>
    </xf>
    <xf numFmtId="167" fontId="11" fillId="10" borderId="1" xfId="0" applyNumberFormat="1" applyFont="1" applyFill="1" applyBorder="1" applyAlignment="1">
      <alignment horizontal="center" vertical="center"/>
    </xf>
    <xf numFmtId="4" fontId="25" fillId="10" borderId="1" xfId="0" applyNumberFormat="1" applyFont="1" applyFill="1" applyBorder="1" applyAlignment="1">
      <alignment horizontal="center" vertical="center"/>
    </xf>
    <xf numFmtId="4" fontId="22" fillId="10" borderId="1" xfId="0" applyNumberFormat="1" applyFont="1" applyFill="1" applyBorder="1" applyAlignment="1">
      <alignment horizontal="center" vertical="center"/>
    </xf>
    <xf numFmtId="4" fontId="27" fillId="10" borderId="1" xfId="0" applyNumberFormat="1" applyFont="1" applyFill="1" applyBorder="1" applyAlignment="1">
      <alignment horizontal="center" vertical="center"/>
    </xf>
    <xf numFmtId="14" fontId="51" fillId="2" borderId="0" xfId="0" applyNumberFormat="1" applyFont="1" applyFill="1" applyAlignment="1">
      <alignment horizontal="center" vertical="center"/>
    </xf>
    <xf numFmtId="4" fontId="7" fillId="2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52" fillId="2" borderId="1" xfId="0" applyNumberFormat="1" applyFont="1" applyFill="1" applyBorder="1" applyAlignment="1">
      <alignment horizontal="center" vertical="center"/>
    </xf>
    <xf numFmtId="49" fontId="48" fillId="2" borderId="1" xfId="0" applyNumberFormat="1" applyFont="1" applyFill="1" applyBorder="1" applyAlignment="1">
      <alignment horizontal="center" vertical="center" wrapText="1"/>
    </xf>
    <xf numFmtId="49" fontId="4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49" fontId="48" fillId="2" borderId="1" xfId="0" applyNumberFormat="1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50" fillId="2" borderId="1" xfId="0" applyNumberFormat="1" applyFont="1" applyFill="1" applyBorder="1" applyAlignment="1">
      <alignment horizontal="center" vertical="center" wrapText="1"/>
    </xf>
    <xf numFmtId="4" fontId="53" fillId="2" borderId="1" xfId="0" applyNumberFormat="1" applyFont="1" applyFill="1" applyBorder="1" applyAlignment="1">
      <alignment horizontal="center" vertical="center" wrapText="1"/>
    </xf>
    <xf numFmtId="4" fontId="55" fillId="2" borderId="2" xfId="0" applyNumberFormat="1" applyFont="1" applyFill="1" applyBorder="1" applyAlignment="1">
      <alignment horizontal="center" vertical="center" wrapText="1"/>
    </xf>
    <xf numFmtId="4" fontId="55" fillId="2" borderId="1" xfId="0" applyNumberFormat="1" applyFont="1" applyFill="1" applyBorder="1" applyAlignment="1">
      <alignment horizontal="center" vertical="center" wrapText="1"/>
    </xf>
    <xf numFmtId="0" fontId="50" fillId="2" borderId="0" xfId="0" applyFont="1" applyFill="1" applyAlignment="1">
      <alignment horizontal="justify" vertical="center" wrapText="1"/>
    </xf>
    <xf numFmtId="0" fontId="57" fillId="2" borderId="1" xfId="0" applyFont="1" applyFill="1" applyBorder="1" applyAlignment="1">
      <alignment horizontal="left" vertical="center" wrapText="1"/>
    </xf>
    <xf numFmtId="0" fontId="58" fillId="2" borderId="1" xfId="0" applyFont="1" applyFill="1" applyBorder="1" applyAlignment="1">
      <alignment horizontal="left" vertical="center" wrapText="1"/>
    </xf>
    <xf numFmtId="0" fontId="58" fillId="2" borderId="1" xfId="0" applyFont="1" applyFill="1" applyBorder="1" applyAlignment="1">
      <alignment horizontal="left" vertical="center" wrapText="1"/>
    </xf>
    <xf numFmtId="0" fontId="53" fillId="2" borderId="1" xfId="0" applyFont="1" applyFill="1" applyBorder="1" applyAlignment="1">
      <alignment horizontal="left" vertical="center" wrapText="1"/>
    </xf>
    <xf numFmtId="0" fontId="58" fillId="2" borderId="5" xfId="0" applyFont="1" applyFill="1" applyBorder="1" applyAlignment="1">
      <alignment horizontal="left" vertical="center" wrapText="1"/>
    </xf>
    <xf numFmtId="0" fontId="58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40" fillId="7" borderId="1" xfId="0" applyNumberFormat="1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left" vertical="center" wrapText="1"/>
    </xf>
    <xf numFmtId="0" fontId="50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167" fontId="11" fillId="3" borderId="1" xfId="0" applyNumberFormat="1" applyFont="1" applyFill="1" applyBorder="1" applyAlignment="1">
      <alignment horizontal="center" vertical="center"/>
    </xf>
    <xf numFmtId="4" fontId="11" fillId="3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5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58" fillId="12" borderId="1" xfId="0" applyFont="1" applyFill="1" applyBorder="1" applyAlignment="1">
      <alignment horizontal="left" vertical="center" wrapText="1"/>
    </xf>
    <xf numFmtId="4" fontId="55" fillId="12" borderId="1" xfId="0" applyNumberFormat="1" applyFont="1" applyFill="1" applyBorder="1" applyAlignment="1">
      <alignment horizontal="center" vertical="center" wrapText="1"/>
    </xf>
    <xf numFmtId="4" fontId="10" fillId="12" borderId="1" xfId="0" applyNumberFormat="1" applyFont="1" applyFill="1" applyBorder="1" applyAlignment="1">
      <alignment horizontal="center" vertical="center" wrapText="1"/>
    </xf>
    <xf numFmtId="4" fontId="24" fillId="12" borderId="1" xfId="0" applyNumberFormat="1" applyFont="1" applyFill="1" applyBorder="1" applyAlignment="1">
      <alignment horizontal="center" vertical="center"/>
    </xf>
    <xf numFmtId="4" fontId="10" fillId="12" borderId="1" xfId="0" applyNumberFormat="1" applyFont="1" applyFill="1" applyBorder="1" applyAlignment="1">
      <alignment horizontal="center" vertical="center"/>
    </xf>
    <xf numFmtId="0" fontId="7" fillId="12" borderId="1" xfId="0" applyFont="1" applyFill="1" applyBorder="1" applyAlignment="1">
      <alignment horizontal="center" vertical="center"/>
    </xf>
    <xf numFmtId="4" fontId="11" fillId="12" borderId="1" xfId="0" applyNumberFormat="1" applyFont="1" applyFill="1" applyBorder="1" applyAlignment="1">
      <alignment horizontal="center" vertical="center"/>
    </xf>
    <xf numFmtId="4" fontId="9" fillId="12" borderId="1" xfId="0" applyNumberFormat="1" applyFont="1" applyFill="1" applyBorder="1" applyAlignment="1">
      <alignment horizontal="center" vertical="center"/>
    </xf>
    <xf numFmtId="4" fontId="25" fillId="12" borderId="1" xfId="0" applyNumberFormat="1" applyFont="1" applyFill="1" applyBorder="1" applyAlignment="1">
      <alignment horizontal="center" vertical="center"/>
    </xf>
    <xf numFmtId="0" fontId="10" fillId="12" borderId="1" xfId="0" applyFont="1" applyFill="1" applyBorder="1" applyAlignment="1">
      <alignment horizontal="center" vertical="center"/>
    </xf>
    <xf numFmtId="4" fontId="22" fillId="12" borderId="1" xfId="0" applyNumberFormat="1" applyFont="1" applyFill="1" applyBorder="1" applyAlignment="1">
      <alignment horizontal="center" vertical="center"/>
    </xf>
    <xf numFmtId="4" fontId="27" fillId="12" borderId="1" xfId="0" applyNumberFormat="1" applyFont="1" applyFill="1" applyBorder="1" applyAlignment="1">
      <alignment horizontal="center" vertical="center"/>
    </xf>
    <xf numFmtId="4" fontId="7" fillId="12" borderId="1" xfId="0" applyNumberFormat="1" applyFont="1" applyFill="1" applyBorder="1" applyAlignment="1">
      <alignment horizontal="center" vertical="center" wrapText="1"/>
    </xf>
    <xf numFmtId="49" fontId="26" fillId="12" borderId="1" xfId="0" applyNumberFormat="1" applyFont="1" applyFill="1" applyBorder="1" applyAlignment="1">
      <alignment horizontal="center" vertical="center" wrapText="1"/>
    </xf>
    <xf numFmtId="0" fontId="7" fillId="12" borderId="0" xfId="0" applyFont="1" applyFill="1" applyAlignment="1">
      <alignment horizontal="center" vertical="center"/>
    </xf>
    <xf numFmtId="4" fontId="52" fillId="12" borderId="1" xfId="0" applyNumberFormat="1" applyFont="1" applyFill="1" applyBorder="1" applyAlignment="1">
      <alignment horizontal="center" vertical="center"/>
    </xf>
    <xf numFmtId="167" fontId="11" fillId="12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58" fillId="2" borderId="2" xfId="0" applyFont="1" applyFill="1" applyBorder="1" applyAlignment="1">
      <alignment horizontal="left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58" fillId="2" borderId="1" xfId="0" applyNumberFormat="1" applyFont="1" applyFill="1" applyBorder="1" applyAlignment="1">
      <alignment horizontal="left" vertical="center" wrapText="1"/>
    </xf>
    <xf numFmtId="4" fontId="11" fillId="11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1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left" vertical="center" wrapText="1"/>
    </xf>
    <xf numFmtId="0" fontId="58" fillId="2" borderId="2" xfId="0" applyFont="1" applyFill="1" applyBorder="1" applyAlignment="1">
      <alignment horizontal="left" vertical="center" wrapText="1"/>
    </xf>
    <xf numFmtId="0" fontId="58" fillId="1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24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4" fontId="40" fillId="3" borderId="1" xfId="0" applyNumberFormat="1" applyFont="1" applyFill="1" applyBorder="1" applyAlignment="1">
      <alignment horizontal="center" vertical="center"/>
    </xf>
    <xf numFmtId="4" fontId="25" fillId="3" borderId="1" xfId="0" applyNumberFormat="1" applyFont="1" applyFill="1" applyBorder="1" applyAlignment="1">
      <alignment horizontal="center" vertical="center"/>
    </xf>
    <xf numFmtId="4" fontId="11" fillId="1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 wrapText="1"/>
    </xf>
    <xf numFmtId="0" fontId="58" fillId="12" borderId="1" xfId="0" applyFont="1" applyFill="1" applyBorder="1" applyAlignment="1">
      <alignment horizontal="left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58" fillId="3" borderId="2" xfId="0" applyFont="1" applyFill="1" applyBorder="1" applyAlignment="1">
      <alignment horizontal="left" vertical="center" wrapText="1"/>
    </xf>
    <xf numFmtId="0" fontId="58" fillId="9" borderId="1" xfId="0" applyFont="1" applyFill="1" applyBorder="1" applyAlignment="1">
      <alignment horizontal="left" vertical="center" wrapText="1"/>
    </xf>
    <xf numFmtId="4" fontId="40" fillId="15" borderId="1" xfId="0" applyNumberFormat="1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 wrapText="1"/>
    </xf>
    <xf numFmtId="0" fontId="57" fillId="2" borderId="1" xfId="0" applyNumberFormat="1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59" fillId="2" borderId="0" xfId="0" applyFont="1" applyFill="1"/>
    <xf numFmtId="0" fontId="7" fillId="2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left" vertical="center" wrapText="1"/>
    </xf>
    <xf numFmtId="4" fontId="27" fillId="2" borderId="1" xfId="0" applyNumberFormat="1" applyFont="1" applyFill="1" applyBorder="1" applyAlignment="1">
      <alignment horizontal="center" vertical="center"/>
    </xf>
    <xf numFmtId="4" fontId="24" fillId="2" borderId="1" xfId="0" applyNumberFormat="1" applyFont="1" applyFill="1" applyBorder="1" applyAlignment="1">
      <alignment horizontal="center" vertical="center"/>
    </xf>
    <xf numFmtId="0" fontId="58" fillId="2" borderId="2" xfId="0" applyFont="1" applyFill="1" applyBorder="1" applyAlignment="1">
      <alignment horizontal="left" vertical="center" wrapText="1"/>
    </xf>
    <xf numFmtId="4" fontId="32" fillId="2" borderId="1" xfId="0" applyNumberFormat="1" applyFont="1" applyFill="1" applyBorder="1" applyAlignment="1">
      <alignment horizontal="center" vertical="center"/>
    </xf>
    <xf numFmtId="49" fontId="26" fillId="2" borderId="1" xfId="0" applyNumberFormat="1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4" fontId="10" fillId="2" borderId="1" xfId="0" applyNumberFormat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 shrinkToFit="1"/>
    </xf>
    <xf numFmtId="4" fontId="11" fillId="2" borderId="1" xfId="0" applyNumberFormat="1" applyFont="1" applyFill="1" applyBorder="1" applyAlignment="1">
      <alignment horizontal="center" vertical="center" shrinkToFit="1"/>
    </xf>
    <xf numFmtId="4" fontId="9" fillId="2" borderId="1" xfId="0" applyNumberFormat="1" applyFont="1" applyFill="1" applyBorder="1" applyAlignment="1">
      <alignment horizontal="center" vertical="center" shrinkToFit="1"/>
    </xf>
    <xf numFmtId="4" fontId="25" fillId="2" borderId="1" xfId="0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167" fontId="11" fillId="2" borderId="1" xfId="0" applyNumberFormat="1" applyFont="1" applyFill="1" applyBorder="1" applyAlignment="1">
      <alignment horizontal="center" vertical="center" shrinkToFit="1"/>
    </xf>
    <xf numFmtId="4" fontId="22" fillId="2" borderId="1" xfId="0" applyNumberFormat="1" applyFont="1" applyFill="1" applyBorder="1" applyAlignment="1">
      <alignment horizontal="center" vertical="center" shrinkToFit="1"/>
    </xf>
    <xf numFmtId="4" fontId="27" fillId="2" borderId="1" xfId="0" applyNumberFormat="1" applyFont="1" applyFill="1" applyBorder="1" applyAlignment="1">
      <alignment horizontal="center" vertical="center" shrinkToFit="1"/>
    </xf>
    <xf numFmtId="0" fontId="4" fillId="2" borderId="0" xfId="0" applyFont="1" applyFill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left" vertical="center" wrapText="1"/>
    </xf>
    <xf numFmtId="0" fontId="59" fillId="2" borderId="1" xfId="0" applyFont="1" applyFill="1" applyBorder="1" applyAlignment="1">
      <alignment horizontal="left" vertical="center" wrapText="1"/>
    </xf>
    <xf numFmtId="1" fontId="49" fillId="2" borderId="1" xfId="1" applyNumberFormat="1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4" fontId="24" fillId="2" borderId="1" xfId="0" applyNumberFormat="1" applyFont="1" applyFill="1" applyBorder="1" applyAlignment="1">
      <alignment horizontal="center" vertical="center"/>
    </xf>
    <xf numFmtId="4" fontId="56" fillId="2" borderId="1" xfId="0" applyNumberFormat="1" applyFont="1" applyFill="1" applyBorder="1" applyAlignment="1">
      <alignment horizontal="center" vertical="center" wrapText="1"/>
    </xf>
    <xf numFmtId="0" fontId="60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5" fillId="2" borderId="1" xfId="0" applyFont="1" applyFill="1" applyBorder="1" applyAlignment="1">
      <alignment vertical="center" wrapText="1"/>
    </xf>
    <xf numFmtId="4" fontId="56" fillId="2" borderId="2" xfId="0" applyNumberFormat="1" applyFont="1" applyFill="1" applyBorder="1" applyAlignment="1">
      <alignment horizontal="center" vertical="center" wrapText="1"/>
    </xf>
    <xf numFmtId="4" fontId="56" fillId="2" borderId="6" xfId="0" applyNumberFormat="1" applyFont="1" applyFill="1" applyBorder="1" applyAlignment="1">
      <alignment horizontal="center" vertical="center" wrapText="1"/>
    </xf>
    <xf numFmtId="4" fontId="56" fillId="2" borderId="5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56" fillId="2" borderId="2" xfId="0" applyFont="1" applyFill="1" applyBorder="1" applyAlignment="1">
      <alignment horizontal="left" vertical="center" wrapText="1"/>
    </xf>
    <xf numFmtId="0" fontId="56" fillId="2" borderId="6" xfId="0" applyFont="1" applyFill="1" applyBorder="1" applyAlignment="1">
      <alignment horizontal="left" vertical="center" wrapText="1"/>
    </xf>
    <xf numFmtId="0" fontId="56" fillId="2" borderId="5" xfId="0" applyFont="1" applyFill="1" applyBorder="1" applyAlignment="1">
      <alignment horizontal="left" vertical="center" wrapText="1"/>
    </xf>
    <xf numFmtId="1" fontId="49" fillId="2" borderId="2" xfId="1" applyNumberFormat="1" applyFont="1" applyFill="1" applyBorder="1" applyAlignment="1">
      <alignment horizontal="center" vertical="center" wrapText="1"/>
    </xf>
    <xf numFmtId="1" fontId="49" fillId="2" borderId="6" xfId="1" applyNumberFormat="1" applyFont="1" applyFill="1" applyBorder="1" applyAlignment="1">
      <alignment horizontal="center" vertical="center" wrapText="1"/>
    </xf>
    <xf numFmtId="1" fontId="49" fillId="2" borderId="5" xfId="1" applyNumberFormat="1" applyFont="1" applyFill="1" applyBorder="1" applyAlignment="1">
      <alignment horizontal="center" vertical="center" wrapText="1"/>
    </xf>
    <xf numFmtId="4" fontId="56" fillId="2" borderId="1" xfId="0" applyNumberFormat="1" applyFont="1" applyFill="1" applyBorder="1" applyAlignment="1">
      <alignment horizontal="center" vertical="center" shrinkToFit="1"/>
    </xf>
    <xf numFmtId="0" fontId="60" fillId="2" borderId="1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58" fillId="2" borderId="1" xfId="0" applyFont="1" applyFill="1" applyBorder="1" applyAlignment="1">
      <alignment horizontal="left" vertical="center" shrinkToFit="1"/>
    </xf>
    <xf numFmtId="0" fontId="59" fillId="2" borderId="1" xfId="0" applyFont="1" applyFill="1" applyBorder="1" applyAlignment="1">
      <alignment horizontal="left" vertical="center" shrinkToFit="1"/>
    </xf>
    <xf numFmtId="1" fontId="49" fillId="2" borderId="1" xfId="1" applyNumberFormat="1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horizontal="center" vertical="center" shrinkToFit="1"/>
    </xf>
    <xf numFmtId="0" fontId="45" fillId="2" borderId="1" xfId="0" applyFont="1" applyFill="1" applyBorder="1" applyAlignment="1">
      <alignment vertical="center" shrinkToFit="1"/>
    </xf>
    <xf numFmtId="4" fontId="24" fillId="2" borderId="1" xfId="0" applyNumberFormat="1" applyFont="1" applyFill="1" applyBorder="1" applyAlignment="1">
      <alignment horizontal="center" vertical="center" shrinkToFit="1"/>
    </xf>
    <xf numFmtId="4" fontId="40" fillId="2" borderId="1" xfId="0" applyNumberFormat="1" applyFont="1" applyFill="1" applyBorder="1" applyAlignment="1">
      <alignment horizontal="center" vertical="center" shrinkToFit="1"/>
    </xf>
    <xf numFmtId="0" fontId="41" fillId="2" borderId="1" xfId="0" applyFont="1" applyFill="1" applyBorder="1" applyAlignment="1">
      <alignment vertical="center" shrinkToFit="1"/>
    </xf>
    <xf numFmtId="4" fontId="60" fillId="2" borderId="2" xfId="0" applyNumberFormat="1" applyFont="1" applyFill="1" applyBorder="1" applyAlignment="1">
      <alignment horizontal="center" vertical="center" wrapText="1"/>
    </xf>
    <xf numFmtId="0" fontId="60" fillId="2" borderId="6" xfId="0" applyFont="1" applyFill="1" applyBorder="1" applyAlignment="1">
      <alignment horizontal="center" vertical="center" wrapText="1"/>
    </xf>
    <xf numFmtId="0" fontId="60" fillId="2" borderId="5" xfId="0" applyFont="1" applyFill="1" applyBorder="1" applyAlignment="1">
      <alignment horizontal="center" vertical="center" wrapText="1"/>
    </xf>
    <xf numFmtId="0" fontId="53" fillId="2" borderId="1" xfId="0" applyFont="1" applyFill="1" applyBorder="1" applyAlignment="1">
      <alignment horizontal="left" vertical="center" wrapText="1"/>
    </xf>
    <xf numFmtId="0" fontId="54" fillId="2" borderId="1" xfId="0" applyFont="1" applyFill="1" applyBorder="1" applyAlignment="1">
      <alignment horizontal="left" vertical="center" wrapText="1"/>
    </xf>
    <xf numFmtId="4" fontId="32" fillId="2" borderId="1" xfId="0" applyNumberFormat="1" applyFont="1" applyFill="1" applyBorder="1" applyAlignment="1">
      <alignment horizontal="center" vertical="center"/>
    </xf>
    <xf numFmtId="0" fontId="58" fillId="2" borderId="2" xfId="0" applyFont="1" applyFill="1" applyBorder="1" applyAlignment="1">
      <alignment horizontal="left" vertical="center" shrinkToFit="1"/>
    </xf>
    <xf numFmtId="0" fontId="0" fillId="0" borderId="6" xfId="0" applyBorder="1" applyAlignment="1">
      <alignment horizontal="left" vertical="center" shrinkToFit="1"/>
    </xf>
    <xf numFmtId="0" fontId="0" fillId="0" borderId="5" xfId="0" applyBorder="1" applyAlignment="1">
      <alignment horizontal="left" vertical="center" shrinkToFit="1"/>
    </xf>
    <xf numFmtId="4" fontId="24" fillId="2" borderId="3" xfId="0" applyNumberFormat="1" applyFont="1" applyFill="1" applyBorder="1" applyAlignment="1">
      <alignment horizontal="center" vertical="center"/>
    </xf>
    <xf numFmtId="4" fontId="24" fillId="2" borderId="7" xfId="0" applyNumberFormat="1" applyFont="1" applyFill="1" applyBorder="1" applyAlignment="1">
      <alignment horizontal="center" vertical="center"/>
    </xf>
    <xf numFmtId="4" fontId="24" fillId="2" borderId="4" xfId="0" applyNumberFormat="1" applyFont="1" applyFill="1" applyBorder="1" applyAlignment="1">
      <alignment horizontal="center" vertical="center"/>
    </xf>
    <xf numFmtId="4" fontId="40" fillId="2" borderId="2" xfId="0" applyNumberFormat="1" applyFont="1" applyFill="1" applyBorder="1" applyAlignment="1">
      <alignment horizontal="center" vertical="center" wrapText="1"/>
    </xf>
    <xf numFmtId="4" fontId="40" fillId="2" borderId="6" xfId="0" applyNumberFormat="1" applyFont="1" applyFill="1" applyBorder="1" applyAlignment="1">
      <alignment horizontal="center" vertical="center" wrapText="1"/>
    </xf>
    <xf numFmtId="4" fontId="40" fillId="2" borderId="5" xfId="0" applyNumberFormat="1" applyFont="1" applyFill="1" applyBorder="1" applyAlignment="1">
      <alignment horizontal="center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" fontId="63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60" fillId="2" borderId="6" xfId="0" applyFont="1" applyFill="1" applyBorder="1"/>
    <xf numFmtId="0" fontId="60" fillId="2" borderId="5" xfId="0" applyFont="1" applyFill="1" applyBorder="1"/>
    <xf numFmtId="0" fontId="58" fillId="2" borderId="2" xfId="0" applyFont="1" applyFill="1" applyBorder="1" applyAlignment="1">
      <alignment horizontal="left" vertical="center" wrapText="1"/>
    </xf>
    <xf numFmtId="0" fontId="58" fillId="2" borderId="6" xfId="0" applyFont="1" applyFill="1" applyBorder="1" applyAlignment="1">
      <alignment horizontal="left" vertical="center" wrapText="1"/>
    </xf>
    <xf numFmtId="0" fontId="58" fillId="2" borderId="5" xfId="0" applyFont="1" applyFill="1" applyBorder="1" applyAlignment="1">
      <alignment horizontal="left" vertical="center" wrapText="1"/>
    </xf>
    <xf numFmtId="4" fontId="63" fillId="2" borderId="3" xfId="0" applyNumberFormat="1" applyFont="1" applyFill="1" applyBorder="1" applyAlignment="1">
      <alignment horizontal="center" vertical="center"/>
    </xf>
    <xf numFmtId="4" fontId="63" fillId="2" borderId="7" xfId="0" applyNumberFormat="1" applyFont="1" applyFill="1" applyBorder="1" applyAlignment="1">
      <alignment horizontal="center" vertical="center"/>
    </xf>
    <xf numFmtId="4" fontId="63" fillId="2" borderId="4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56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left" vertical="center" wrapText="1"/>
    </xf>
    <xf numFmtId="0" fontId="60" fillId="2" borderId="1" xfId="0" applyFont="1" applyFill="1" applyBorder="1" applyAlignment="1">
      <alignment horizontal="center" vertical="center" wrapText="1"/>
    </xf>
    <xf numFmtId="4" fontId="27" fillId="2" borderId="1" xfId="0" applyNumberFormat="1" applyFont="1" applyFill="1" applyBorder="1" applyAlignment="1">
      <alignment horizontal="center" vertical="center"/>
    </xf>
    <xf numFmtId="0" fontId="65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37" fillId="2" borderId="0" xfId="0" applyFont="1" applyFill="1" applyAlignment="1">
      <alignment horizontal="center" vertical="center" wrapText="1"/>
    </xf>
    <xf numFmtId="0" fontId="66" fillId="2" borderId="0" xfId="0" applyFont="1" applyFill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 wrapText="1"/>
    </xf>
    <xf numFmtId="0" fontId="67" fillId="0" borderId="0" xfId="0" applyFont="1" applyAlignment="1">
      <alignment horizontal="left" vertical="top" wrapText="1"/>
    </xf>
    <xf numFmtId="0" fontId="4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4" fontId="27" fillId="5" borderId="1" xfId="0" applyNumberFormat="1" applyFont="1" applyFill="1" applyBorder="1" applyAlignment="1">
      <alignment horizontal="center" vertical="center"/>
    </xf>
    <xf numFmtId="0" fontId="53" fillId="3" borderId="1" xfId="0" applyFont="1" applyFill="1" applyBorder="1" applyAlignment="1">
      <alignment horizontal="left" vertical="center" wrapText="1"/>
    </xf>
    <xf numFmtId="0" fontId="54" fillId="3" borderId="1" xfId="0" applyFont="1" applyFill="1" applyBorder="1" applyAlignment="1">
      <alignment horizontal="left" vertical="center" wrapText="1"/>
    </xf>
    <xf numFmtId="4" fontId="63" fillId="5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56" fillId="3" borderId="1" xfId="0" applyFont="1" applyFill="1" applyBorder="1" applyAlignment="1">
      <alignment horizontal="left" vertical="center" wrapText="1"/>
    </xf>
    <xf numFmtId="0" fontId="60" fillId="3" borderId="1" xfId="0" applyFont="1" applyFill="1" applyBorder="1" applyAlignment="1">
      <alignment horizontal="left" vertical="center" wrapText="1"/>
    </xf>
    <xf numFmtId="0" fontId="56" fillId="15" borderId="1" xfId="0" applyFont="1" applyFill="1" applyBorder="1" applyAlignment="1">
      <alignment horizontal="left" vertical="center" wrapText="1"/>
    </xf>
    <xf numFmtId="0" fontId="60" fillId="15" borderId="1" xfId="0" applyFont="1" applyFill="1" applyBorder="1" applyAlignment="1">
      <alignment horizontal="left" vertical="center" wrapText="1"/>
    </xf>
    <xf numFmtId="0" fontId="58" fillId="16" borderId="1" xfId="0" applyFont="1" applyFill="1" applyBorder="1" applyAlignment="1">
      <alignment horizontal="left" vertical="center" wrapText="1"/>
    </xf>
    <xf numFmtId="0" fontId="59" fillId="16" borderId="1" xfId="0" applyFont="1" applyFill="1" applyBorder="1" applyAlignment="1">
      <alignment horizontal="left" vertical="center" wrapText="1"/>
    </xf>
    <xf numFmtId="0" fontId="58" fillId="3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4" fontId="63" fillId="5" borderId="3" xfId="0" applyNumberFormat="1" applyFont="1" applyFill="1" applyBorder="1" applyAlignment="1">
      <alignment horizontal="center" vertical="center"/>
    </xf>
    <xf numFmtId="4" fontId="63" fillId="5" borderId="7" xfId="0" applyNumberFormat="1" applyFont="1" applyFill="1" applyBorder="1" applyAlignment="1">
      <alignment horizontal="center" vertical="center"/>
    </xf>
    <xf numFmtId="4" fontId="63" fillId="5" borderId="4" xfId="0" applyNumberFormat="1" applyFont="1" applyFill="1" applyBorder="1" applyAlignment="1">
      <alignment horizontal="center" vertical="center"/>
    </xf>
    <xf numFmtId="0" fontId="58" fillId="9" borderId="1" xfId="0" applyFont="1" applyFill="1" applyBorder="1" applyAlignment="1">
      <alignment horizontal="left" vertical="center" wrapText="1"/>
    </xf>
    <xf numFmtId="0" fontId="59" fillId="9" borderId="1" xfId="0" applyFont="1" applyFill="1" applyBorder="1" applyAlignment="1">
      <alignment horizontal="left" vertical="center" wrapText="1"/>
    </xf>
    <xf numFmtId="4" fontId="40" fillId="2" borderId="1" xfId="0" applyNumberFormat="1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vertical="center" wrapText="1"/>
    </xf>
    <xf numFmtId="4" fontId="7" fillId="12" borderId="1" xfId="0" applyNumberFormat="1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34" fillId="2" borderId="0" xfId="0" applyFont="1" applyFill="1" applyAlignment="1">
      <alignment horizontal="justify" vertical="center" wrapText="1"/>
    </xf>
    <xf numFmtId="4" fontId="53" fillId="2" borderId="2" xfId="0" applyNumberFormat="1" applyFont="1" applyFill="1" applyBorder="1" applyAlignment="1">
      <alignment horizontal="center" vertical="center" wrapText="1"/>
    </xf>
    <xf numFmtId="4" fontId="53" fillId="2" borderId="6" xfId="0" applyNumberFormat="1" applyFont="1" applyFill="1" applyBorder="1" applyAlignment="1">
      <alignment horizontal="center" vertical="center" wrapText="1"/>
    </xf>
    <xf numFmtId="4" fontId="53" fillId="2" borderId="5" xfId="0" applyNumberFormat="1" applyFont="1" applyFill="1" applyBorder="1" applyAlignment="1">
      <alignment horizontal="center" vertical="center" wrapText="1"/>
    </xf>
    <xf numFmtId="4" fontId="53" fillId="2" borderId="1" xfId="0" applyNumberFormat="1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vertical="center" wrapText="1"/>
    </xf>
    <xf numFmtId="4" fontId="53" fillId="12" borderId="1" xfId="0" applyNumberFormat="1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 wrapText="1"/>
    </xf>
    <xf numFmtId="0" fontId="7" fillId="12" borderId="6" xfId="0" applyFont="1" applyFill="1" applyBorder="1" applyAlignment="1">
      <alignment horizontal="center" vertical="center" wrapText="1"/>
    </xf>
    <xf numFmtId="0" fontId="7" fillId="12" borderId="5" xfId="0" applyFont="1" applyFill="1" applyBorder="1" applyAlignment="1">
      <alignment horizontal="center" vertical="center" wrapText="1"/>
    </xf>
    <xf numFmtId="0" fontId="56" fillId="12" borderId="2" xfId="0" applyFont="1" applyFill="1" applyBorder="1" applyAlignment="1">
      <alignment horizontal="left" vertical="center" wrapText="1"/>
    </xf>
    <xf numFmtId="0" fontId="56" fillId="12" borderId="6" xfId="0" applyFont="1" applyFill="1" applyBorder="1" applyAlignment="1">
      <alignment horizontal="left" vertical="center" wrapText="1"/>
    </xf>
    <xf numFmtId="0" fontId="56" fillId="12" borderId="5" xfId="0" applyFont="1" applyFill="1" applyBorder="1" applyAlignment="1">
      <alignment horizontal="left" vertical="center" wrapText="1"/>
    </xf>
    <xf numFmtId="1" fontId="49" fillId="12" borderId="2" xfId="1" applyNumberFormat="1" applyFont="1" applyFill="1" applyBorder="1" applyAlignment="1">
      <alignment horizontal="center" vertical="center" wrapText="1"/>
    </xf>
    <xf numFmtId="1" fontId="49" fillId="12" borderId="6" xfId="1" applyNumberFormat="1" applyFont="1" applyFill="1" applyBorder="1" applyAlignment="1">
      <alignment horizontal="center" vertical="center" wrapText="1"/>
    </xf>
    <xf numFmtId="1" fontId="49" fillId="12" borderId="5" xfId="1" applyNumberFormat="1" applyFont="1" applyFill="1" applyBorder="1" applyAlignment="1">
      <alignment horizontal="center" vertical="center" wrapText="1"/>
    </xf>
    <xf numFmtId="4" fontId="24" fillId="12" borderId="1" xfId="0" applyNumberFormat="1" applyFont="1" applyFill="1" applyBorder="1" applyAlignment="1">
      <alignment horizontal="center" vertical="center"/>
    </xf>
    <xf numFmtId="4" fontId="53" fillId="12" borderId="2" xfId="0" applyNumberFormat="1" applyFont="1" applyFill="1" applyBorder="1" applyAlignment="1">
      <alignment horizontal="center" vertical="center" wrapText="1"/>
    </xf>
    <xf numFmtId="4" fontId="53" fillId="12" borderId="6" xfId="0" applyNumberFormat="1" applyFont="1" applyFill="1" applyBorder="1" applyAlignment="1">
      <alignment horizontal="center" vertical="center" wrapText="1"/>
    </xf>
    <xf numFmtId="4" fontId="53" fillId="12" borderId="5" xfId="0" applyNumberFormat="1" applyFont="1" applyFill="1" applyBorder="1" applyAlignment="1">
      <alignment horizontal="center" vertical="center" wrapText="1"/>
    </xf>
    <xf numFmtId="4" fontId="54" fillId="2" borderId="2" xfId="0" applyNumberFormat="1" applyFont="1" applyFill="1" applyBorder="1" applyAlignment="1">
      <alignment horizontal="center" vertical="center" wrapText="1"/>
    </xf>
    <xf numFmtId="0" fontId="54" fillId="2" borderId="6" xfId="0" applyFont="1" applyFill="1" applyBorder="1" applyAlignment="1">
      <alignment horizontal="center" vertical="center" wrapText="1"/>
    </xf>
    <xf numFmtId="0" fontId="54" fillId="2" borderId="5" xfId="0" applyFont="1" applyFill="1" applyBorder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58" fillId="12" borderId="1" xfId="0" applyFont="1" applyFill="1" applyBorder="1" applyAlignment="1">
      <alignment horizontal="left" vertical="center" wrapText="1"/>
    </xf>
    <xf numFmtId="0" fontId="59" fillId="12" borderId="1" xfId="0" applyFont="1" applyFill="1" applyBorder="1" applyAlignment="1">
      <alignment horizontal="left" vertical="center" wrapText="1"/>
    </xf>
    <xf numFmtId="1" fontId="49" fillId="12" borderId="1" xfId="1" applyNumberFormat="1" applyFont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horizontal="center" vertical="center" wrapText="1"/>
    </xf>
    <xf numFmtId="0" fontId="45" fillId="12" borderId="1" xfId="0" applyFont="1" applyFill="1" applyBorder="1" applyAlignment="1">
      <alignment vertical="center" wrapText="1"/>
    </xf>
    <xf numFmtId="0" fontId="54" fillId="12" borderId="1" xfId="0" applyFont="1" applyFill="1" applyBorder="1" applyAlignment="1">
      <alignment vertical="center" wrapText="1"/>
    </xf>
    <xf numFmtId="0" fontId="7" fillId="14" borderId="1" xfId="0" applyFont="1" applyFill="1" applyBorder="1" applyAlignment="1">
      <alignment horizontal="center" vertical="center" wrapText="1"/>
    </xf>
    <xf numFmtId="0" fontId="58" fillId="14" borderId="1" xfId="0" applyFont="1" applyFill="1" applyBorder="1" applyAlignment="1">
      <alignment horizontal="left" vertical="center" wrapText="1"/>
    </xf>
    <xf numFmtId="0" fontId="59" fillId="14" borderId="1" xfId="0" applyFont="1" applyFill="1" applyBorder="1" applyAlignment="1">
      <alignment horizontal="left" vertical="center" wrapText="1"/>
    </xf>
    <xf numFmtId="0" fontId="53" fillId="12" borderId="2" xfId="0" applyFont="1" applyFill="1" applyBorder="1" applyAlignment="1">
      <alignment horizontal="left" vertical="center" wrapText="1"/>
    </xf>
    <xf numFmtId="0" fontId="54" fillId="12" borderId="6" xfId="0" applyFont="1" applyFill="1" applyBorder="1"/>
    <xf numFmtId="0" fontId="54" fillId="12" borderId="5" xfId="0" applyFont="1" applyFill="1" applyBorder="1"/>
    <xf numFmtId="0" fontId="7" fillId="13" borderId="1" xfId="0" applyFont="1" applyFill="1" applyBorder="1" applyAlignment="1">
      <alignment horizontal="center" vertical="center" wrapText="1"/>
    </xf>
    <xf numFmtId="0" fontId="58" fillId="13" borderId="1" xfId="0" applyFont="1" applyFill="1" applyBorder="1" applyAlignment="1">
      <alignment horizontal="left" vertical="center" wrapText="1"/>
    </xf>
    <xf numFmtId="0" fontId="59" fillId="13" borderId="1" xfId="0" applyFont="1" applyFill="1" applyBorder="1" applyAlignment="1">
      <alignment horizontal="left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4" fontId="53" fillId="11" borderId="1" xfId="0" applyNumberFormat="1" applyFont="1" applyFill="1" applyBorder="1" applyAlignment="1">
      <alignment horizontal="center" vertical="center" wrapText="1"/>
    </xf>
    <xf numFmtId="0" fontId="54" fillId="11" borderId="1" xfId="0" applyFont="1" applyFill="1" applyBorder="1" applyAlignment="1">
      <alignment vertical="center" wrapText="1"/>
    </xf>
    <xf numFmtId="0" fontId="58" fillId="11" borderId="1" xfId="0" applyFont="1" applyFill="1" applyBorder="1" applyAlignment="1">
      <alignment horizontal="left" vertical="center" wrapText="1"/>
    </xf>
    <xf numFmtId="0" fontId="59" fillId="11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center" vertical="center" wrapText="1"/>
    </xf>
    <xf numFmtId="0" fontId="56" fillId="11" borderId="1" xfId="0" applyFont="1" applyFill="1" applyBorder="1" applyAlignment="1">
      <alignment horizontal="left" vertical="center" wrapText="1"/>
    </xf>
    <xf numFmtId="0" fontId="60" fillId="11" borderId="1" xfId="0" applyFont="1" applyFill="1" applyBorder="1" applyAlignment="1">
      <alignment horizontal="left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53" fillId="2" borderId="2" xfId="0" applyFont="1" applyFill="1" applyBorder="1" applyAlignment="1">
      <alignment horizontal="left" vertical="center" wrapText="1"/>
    </xf>
    <xf numFmtId="0" fontId="54" fillId="2" borderId="6" xfId="0" applyFont="1" applyFill="1" applyBorder="1"/>
    <xf numFmtId="0" fontId="54" fillId="2" borderId="5" xfId="0" applyFont="1" applyFill="1" applyBorder="1"/>
    <xf numFmtId="0" fontId="50" fillId="2" borderId="0" xfId="0" applyFont="1" applyFill="1" applyAlignment="1">
      <alignment horizontal="center" vertical="center" wrapText="1"/>
    </xf>
    <xf numFmtId="0" fontId="4" fillId="7" borderId="0" xfId="0" applyFont="1" applyFill="1" applyAlignment="1">
      <alignment horizontal="center" vertical="center" wrapText="1"/>
    </xf>
    <xf numFmtId="0" fontId="50" fillId="7" borderId="0" xfId="0" applyFont="1" applyFill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4" fontId="7" fillId="7" borderId="1" xfId="0" applyNumberFormat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4" fillId="4" borderId="1" xfId="0" applyFont="1" applyFill="1" applyBorder="1" applyAlignment="1">
      <alignment horizontal="left" vertical="center" wrapText="1"/>
    </xf>
    <xf numFmtId="0" fontId="45" fillId="4" borderId="1" xfId="0" applyFont="1" applyFill="1" applyBorder="1" applyAlignment="1">
      <alignment horizontal="left" vertical="center" wrapText="1"/>
    </xf>
    <xf numFmtId="1" fontId="16" fillId="4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4" fontId="24" fillId="4" borderId="1" xfId="0" applyNumberFormat="1" applyFont="1" applyFill="1" applyBorder="1" applyAlignment="1">
      <alignment horizontal="center" vertical="center"/>
    </xf>
    <xf numFmtId="4" fontId="40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4" fontId="13" fillId="7" borderId="1" xfId="0" applyNumberFormat="1" applyFont="1" applyFill="1" applyBorder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4" fontId="40" fillId="7" borderId="1" xfId="0" applyNumberFormat="1" applyFont="1" applyFill="1" applyBorder="1" applyAlignment="1">
      <alignment horizontal="center" vertical="center" wrapText="1"/>
    </xf>
    <xf numFmtId="0" fontId="41" fillId="7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44" fillId="7" borderId="1" xfId="0" applyFont="1" applyFill="1" applyBorder="1" applyAlignment="1">
      <alignment horizontal="left" vertical="center" wrapText="1"/>
    </xf>
    <xf numFmtId="0" fontId="45" fillId="7" borderId="1" xfId="0" applyFont="1" applyFill="1" applyBorder="1" applyAlignment="1">
      <alignment horizontal="left" vertical="center" wrapText="1"/>
    </xf>
    <xf numFmtId="1" fontId="16" fillId="7" borderId="1" xfId="1" applyNumberFormat="1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4" fontId="24" fillId="7" borderId="1" xfId="0" applyNumberFormat="1" applyFont="1" applyFill="1" applyBorder="1" applyAlignment="1">
      <alignment horizontal="center" vertical="center"/>
    </xf>
    <xf numFmtId="0" fontId="46" fillId="7" borderId="1" xfId="0" applyFont="1" applyFill="1" applyBorder="1" applyAlignment="1">
      <alignment horizontal="left" vertical="center" wrapText="1"/>
    </xf>
    <xf numFmtId="0" fontId="47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vertical="center" wrapText="1"/>
    </xf>
    <xf numFmtId="0" fontId="44" fillId="9" borderId="1" xfId="0" applyFont="1" applyFill="1" applyBorder="1" applyAlignment="1">
      <alignment horizontal="left" vertical="center" wrapText="1"/>
    </xf>
    <xf numFmtId="0" fontId="45" fillId="9" borderId="1" xfId="0" applyFont="1" applyFill="1" applyBorder="1" applyAlignment="1">
      <alignment horizontal="left" vertical="center" wrapText="1"/>
    </xf>
    <xf numFmtId="1" fontId="16" fillId="9" borderId="1" xfId="1" applyNumberFormat="1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vertical="center" wrapText="1"/>
    </xf>
    <xf numFmtId="4" fontId="24" fillId="9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left" vertical="center" wrapText="1"/>
    </xf>
    <xf numFmtId="0" fontId="44" fillId="4" borderId="6" xfId="0" applyFont="1" applyFill="1" applyBorder="1" applyAlignment="1">
      <alignment horizontal="left" vertical="center" wrapText="1"/>
    </xf>
    <xf numFmtId="0" fontId="44" fillId="4" borderId="5" xfId="0" applyFont="1" applyFill="1" applyBorder="1" applyAlignment="1">
      <alignment horizontal="left" vertical="center" wrapText="1"/>
    </xf>
    <xf numFmtId="1" fontId="16" fillId="4" borderId="2" xfId="1" applyNumberFormat="1" applyFont="1" applyFill="1" applyBorder="1" applyAlignment="1">
      <alignment horizontal="center" vertical="center" wrapText="1"/>
    </xf>
    <xf numFmtId="1" fontId="16" fillId="4" borderId="6" xfId="1" applyNumberFormat="1" applyFont="1" applyFill="1" applyBorder="1" applyAlignment="1">
      <alignment horizontal="center" vertical="center" wrapText="1"/>
    </xf>
    <xf numFmtId="1" fontId="16" fillId="4" borderId="5" xfId="1" applyNumberFormat="1" applyFont="1" applyFill="1" applyBorder="1" applyAlignment="1">
      <alignment horizontal="center" vertical="center" wrapText="1"/>
    </xf>
    <xf numFmtId="4" fontId="24" fillId="4" borderId="3" xfId="0" applyNumberFormat="1" applyFont="1" applyFill="1" applyBorder="1" applyAlignment="1">
      <alignment horizontal="center" vertical="center"/>
    </xf>
    <xf numFmtId="4" fontId="24" fillId="4" borderId="7" xfId="0" applyNumberFormat="1" applyFont="1" applyFill="1" applyBorder="1" applyAlignment="1">
      <alignment horizontal="center" vertical="center"/>
    </xf>
    <xf numFmtId="4" fontId="24" fillId="4" borderId="4" xfId="0" applyNumberFormat="1" applyFont="1" applyFill="1" applyBorder="1" applyAlignment="1">
      <alignment horizontal="center" vertical="center"/>
    </xf>
    <xf numFmtId="4" fontId="40" fillId="4" borderId="2" xfId="0" applyNumberFormat="1" applyFont="1" applyFill="1" applyBorder="1" applyAlignment="1">
      <alignment horizontal="center" vertical="center" wrapText="1"/>
    </xf>
    <xf numFmtId="4" fontId="40" fillId="4" borderId="6" xfId="0" applyNumberFormat="1" applyFont="1" applyFill="1" applyBorder="1" applyAlignment="1">
      <alignment horizontal="center" vertical="center" wrapText="1"/>
    </xf>
    <xf numFmtId="4" fontId="40" fillId="4" borderId="5" xfId="0" applyNumberFormat="1" applyFont="1" applyFill="1" applyBorder="1" applyAlignment="1">
      <alignment horizontal="center" vertical="center" wrapText="1"/>
    </xf>
    <xf numFmtId="0" fontId="46" fillId="7" borderId="2" xfId="0" applyFont="1" applyFill="1" applyBorder="1" applyAlignment="1">
      <alignment horizontal="left" vertical="center" wrapText="1"/>
    </xf>
    <xf numFmtId="0" fontId="46" fillId="7" borderId="6" xfId="0" applyFont="1" applyFill="1" applyBorder="1" applyAlignment="1">
      <alignment horizontal="left" vertical="center" wrapText="1"/>
    </xf>
    <xf numFmtId="0" fontId="47" fillId="7" borderId="6" xfId="0" applyFont="1" applyFill="1" applyBorder="1"/>
    <xf numFmtId="0" fontId="47" fillId="7" borderId="5" xfId="0" applyFont="1" applyFill="1" applyBorder="1"/>
    <xf numFmtId="0" fontId="0" fillId="7" borderId="1" xfId="0" applyFont="1" applyFill="1" applyBorder="1" applyAlignment="1">
      <alignment horizontal="center" vertical="center" wrapText="1"/>
    </xf>
    <xf numFmtId="4" fontId="40" fillId="3" borderId="1" xfId="0" applyNumberFormat="1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left" vertical="center" wrapText="1"/>
    </xf>
    <xf numFmtId="0" fontId="47" fillId="3" borderId="6" xfId="0" applyFont="1" applyFill="1" applyBorder="1"/>
    <xf numFmtId="0" fontId="47" fillId="3" borderId="5" xfId="0" applyFont="1" applyFill="1" applyBorder="1"/>
    <xf numFmtId="0" fontId="7" fillId="10" borderId="1" xfId="0" applyFont="1" applyFill="1" applyBorder="1" applyAlignment="1">
      <alignment horizontal="center" vertical="center" wrapText="1"/>
    </xf>
    <xf numFmtId="0" fontId="44" fillId="10" borderId="1" xfId="0" applyFont="1" applyFill="1" applyBorder="1" applyAlignment="1">
      <alignment horizontal="left" vertical="center" wrapText="1"/>
    </xf>
    <xf numFmtId="0" fontId="45" fillId="10" borderId="1" xfId="0" applyFont="1" applyFill="1" applyBorder="1" applyAlignment="1">
      <alignment horizontal="left" vertical="center" wrapText="1"/>
    </xf>
    <xf numFmtId="1" fontId="16" fillId="10" borderId="1" xfId="1" applyNumberFormat="1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1" xfId="0" applyFill="1" applyBorder="1" applyAlignment="1">
      <alignment vertical="center" wrapText="1"/>
    </xf>
    <xf numFmtId="4" fontId="24" fillId="10" borderId="3" xfId="0" applyNumberFormat="1" applyFont="1" applyFill="1" applyBorder="1" applyAlignment="1">
      <alignment horizontal="center" vertical="center"/>
    </xf>
    <xf numFmtId="4" fontId="24" fillId="10" borderId="7" xfId="0" applyNumberFormat="1" applyFont="1" applyFill="1" applyBorder="1" applyAlignment="1">
      <alignment horizontal="center" vertical="center"/>
    </xf>
    <xf numFmtId="4" fontId="24" fillId="10" borderId="4" xfId="0" applyNumberFormat="1" applyFont="1" applyFill="1" applyBorder="1" applyAlignment="1">
      <alignment horizontal="center" vertical="center"/>
    </xf>
    <xf numFmtId="4" fontId="40" fillId="10" borderId="2" xfId="0" applyNumberFormat="1" applyFont="1" applyFill="1" applyBorder="1" applyAlignment="1">
      <alignment horizontal="center" vertical="center" wrapText="1"/>
    </xf>
    <xf numFmtId="4" fontId="40" fillId="10" borderId="6" xfId="0" applyNumberFormat="1" applyFont="1" applyFill="1" applyBorder="1" applyAlignment="1">
      <alignment horizontal="center" vertical="center" wrapText="1"/>
    </xf>
    <xf numFmtId="4" fontId="40" fillId="10" borderId="5" xfId="0" applyNumberFormat="1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46" fillId="7" borderId="5" xfId="0" applyFont="1" applyFill="1" applyBorder="1" applyAlignment="1">
      <alignment horizontal="left" vertical="center" wrapText="1"/>
    </xf>
    <xf numFmtId="1" fontId="16" fillId="7" borderId="2" xfId="1" applyNumberFormat="1" applyFont="1" applyFill="1" applyBorder="1" applyAlignment="1">
      <alignment horizontal="center" vertical="center" wrapText="1"/>
    </xf>
    <xf numFmtId="1" fontId="16" fillId="7" borderId="6" xfId="1" applyNumberFormat="1" applyFont="1" applyFill="1" applyBorder="1" applyAlignment="1">
      <alignment horizontal="center" vertical="center" wrapText="1"/>
    </xf>
    <xf numFmtId="1" fontId="16" fillId="7" borderId="5" xfId="1" applyNumberFormat="1" applyFont="1" applyFill="1" applyBorder="1" applyAlignment="1">
      <alignment horizontal="center" vertical="center" wrapText="1"/>
    </xf>
    <xf numFmtId="0" fontId="34" fillId="7" borderId="0" xfId="0" applyFont="1" applyFill="1" applyAlignment="1">
      <alignment horizontal="justify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left" vertical="center" wrapText="1"/>
    </xf>
    <xf numFmtId="0" fontId="46" fillId="2" borderId="6" xfId="0" applyFont="1" applyFill="1" applyBorder="1" applyAlignment="1">
      <alignment horizontal="left" vertical="center" wrapText="1"/>
    </xf>
    <xf numFmtId="0" fontId="46" fillId="2" borderId="5" xfId="0" applyFont="1" applyFill="1" applyBorder="1" applyAlignment="1">
      <alignment horizontal="left" vertical="center" wrapText="1"/>
    </xf>
    <xf numFmtId="1" fontId="16" fillId="2" borderId="2" xfId="1" applyNumberFormat="1" applyFont="1" applyFill="1" applyBorder="1" applyAlignment="1">
      <alignment horizontal="center" vertical="center" wrapText="1"/>
    </xf>
    <xf numFmtId="1" fontId="16" fillId="2" borderId="6" xfId="1" applyNumberFormat="1" applyFont="1" applyFill="1" applyBorder="1" applyAlignment="1">
      <alignment horizontal="center" vertical="center" wrapText="1"/>
    </xf>
    <xf numFmtId="1" fontId="16" fillId="2" borderId="5" xfId="1" applyNumberFormat="1" applyFont="1" applyFill="1" applyBorder="1" applyAlignment="1">
      <alignment horizontal="center" vertical="center" wrapText="1"/>
    </xf>
    <xf numFmtId="0" fontId="44" fillId="2" borderId="1" xfId="0" applyFont="1" applyFill="1" applyBorder="1" applyAlignment="1">
      <alignment horizontal="left" vertical="center" wrapText="1"/>
    </xf>
    <xf numFmtId="0" fontId="45" fillId="2" borderId="1" xfId="0" applyFont="1" applyFill="1" applyBorder="1" applyAlignment="1">
      <alignment horizontal="left" vertical="center" wrapText="1"/>
    </xf>
    <xf numFmtId="1" fontId="16" fillId="2" borderId="1" xfId="1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center" vertical="center" wrapText="1"/>
    </xf>
    <xf numFmtId="4" fontId="11" fillId="2" borderId="1" xfId="0" applyNumberFormat="1" applyFont="1" applyFill="1" applyBorder="1" applyAlignment="1">
      <alignment horizontal="center" vertical="center"/>
    </xf>
    <xf numFmtId="0" fontId="47" fillId="2" borderId="6" xfId="0" applyFont="1" applyFill="1" applyBorder="1"/>
    <xf numFmtId="0" fontId="47" fillId="2" borderId="5" xfId="0" applyFont="1" applyFill="1" applyBorder="1"/>
    <xf numFmtId="0" fontId="44" fillId="2" borderId="2" xfId="0" applyFont="1" applyFill="1" applyBorder="1" applyAlignment="1">
      <alignment horizontal="left" vertical="center" wrapText="1"/>
    </xf>
    <xf numFmtId="0" fontId="44" fillId="2" borderId="6" xfId="0" applyFont="1" applyFill="1" applyBorder="1" applyAlignment="1">
      <alignment horizontal="left" vertical="center" wrapText="1"/>
    </xf>
    <xf numFmtId="0" fontId="44" fillId="2" borderId="5" xfId="0" applyFont="1" applyFill="1" applyBorder="1" applyAlignment="1">
      <alignment horizontal="left" vertical="center" wrapText="1"/>
    </xf>
    <xf numFmtId="0" fontId="44" fillId="3" borderId="1" xfId="0" applyFont="1" applyFill="1" applyBorder="1" applyAlignment="1">
      <alignment horizontal="left" vertical="center" wrapText="1"/>
    </xf>
    <xf numFmtId="0" fontId="45" fillId="3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" fontId="34" fillId="2" borderId="1" xfId="0" applyNumberFormat="1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46" fillId="2" borderId="1" xfId="0" applyFont="1" applyFill="1" applyBorder="1" applyAlignment="1">
      <alignment horizontal="left" vertical="center" wrapText="1"/>
    </xf>
    <xf numFmtId="0" fontId="47" fillId="2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4" fontId="24" fillId="0" borderId="1" xfId="0" applyNumberFormat="1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1" fontId="16" fillId="0" borderId="1" xfId="1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35" fillId="0" borderId="6" xfId="0" applyFont="1" applyFill="1" applyBorder="1"/>
    <xf numFmtId="0" fontId="35" fillId="0" borderId="5" xfId="0" applyFont="1" applyFill="1" applyBorder="1"/>
    <xf numFmtId="0" fontId="0" fillId="0" borderId="1" xfId="0" applyFont="1" applyFill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35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4" fontId="10" fillId="0" borderId="5" xfId="0" applyNumberFormat="1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justify" vertical="center" wrapText="1"/>
    </xf>
    <xf numFmtId="4" fontId="24" fillId="0" borderId="3" xfId="0" applyNumberFormat="1" applyFont="1" applyFill="1" applyBorder="1" applyAlignment="1">
      <alignment horizontal="center" vertical="center"/>
    </xf>
    <xf numFmtId="4" fontId="24" fillId="0" borderId="7" xfId="0" applyNumberFormat="1" applyFont="1" applyFill="1" applyBorder="1" applyAlignment="1">
      <alignment horizontal="center" vertical="center"/>
    </xf>
    <xf numFmtId="4" fontId="24" fillId="0" borderId="4" xfId="0" applyNumberFormat="1" applyFont="1" applyFill="1" applyBorder="1" applyAlignment="1">
      <alignment horizontal="center" vertical="center"/>
    </xf>
    <xf numFmtId="1" fontId="16" fillId="0" borderId="2" xfId="1" applyNumberFormat="1" applyFont="1" applyFill="1" applyBorder="1" applyAlignment="1">
      <alignment horizontal="center" vertical="center" wrapText="1"/>
    </xf>
    <xf numFmtId="1" fontId="16" fillId="0" borderId="6" xfId="1" applyNumberFormat="1" applyFont="1" applyFill="1" applyBorder="1" applyAlignment="1">
      <alignment horizontal="center" vertical="center" wrapText="1"/>
    </xf>
    <xf numFmtId="1" fontId="16" fillId="0" borderId="5" xfId="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</cellXfs>
  <cellStyles count="38">
    <cellStyle name="Обычный" xfId="0" builtinId="0"/>
    <cellStyle name="Обычный 10" xfId="5"/>
    <cellStyle name="Обычный 11" xfId="36"/>
    <cellStyle name="Обычный 12" xfId="37"/>
    <cellStyle name="Обычный 2" xfId="1"/>
    <cellStyle name="Обычный 2 2" xfId="3"/>
    <cellStyle name="Обычный 2 2 2" xfId="6"/>
    <cellStyle name="Обычный 2 2 3" xfId="7"/>
    <cellStyle name="Обычный 2 3" xfId="8"/>
    <cellStyle name="Обычный 2 4" xfId="9"/>
    <cellStyle name="Обычный 2 5" xfId="35"/>
    <cellStyle name="Обычный 3" xfId="10"/>
    <cellStyle name="Обычный 3 2" xfId="11"/>
    <cellStyle name="Обычный 4" xfId="12"/>
    <cellStyle name="Обычный 4 2" xfId="13"/>
    <cellStyle name="Обычный 5" xfId="14"/>
    <cellStyle name="Обычный 5 2" xfId="15"/>
    <cellStyle name="Обычный 6" xfId="16"/>
    <cellStyle name="Обычный 6 2" xfId="17"/>
    <cellStyle name="Обычный 7" xfId="18"/>
    <cellStyle name="Обычный 7 2" xfId="19"/>
    <cellStyle name="Обычный 8" xfId="20"/>
    <cellStyle name="Обычный 8 2" xfId="21"/>
    <cellStyle name="Обычный 9" xfId="22"/>
    <cellStyle name="Обычный 9 2" xfId="23"/>
    <cellStyle name="Процентный 2" xfId="2"/>
    <cellStyle name="Процентный 2 2" xfId="24"/>
    <cellStyle name="Процентный 3" xfId="25"/>
    <cellStyle name="Процентный 3 2" xfId="26"/>
    <cellStyle name="Процентный 3 3" xfId="27"/>
    <cellStyle name="Процентный 4" xfId="28"/>
    <cellStyle name="Процентный 5" xfId="29"/>
    <cellStyle name="Процентный 5 2" xfId="30"/>
    <cellStyle name="Процентный 5 2 2" xfId="4"/>
    <cellStyle name="Процентный 6" xfId="31"/>
    <cellStyle name="Процентный 6 2" xfId="32"/>
    <cellStyle name="Процентный 7" xfId="33"/>
    <cellStyle name="Финансовый [0] 2" xfId="34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"/>
  <sheetViews>
    <sheetView workbookViewId="0">
      <selection activeCell="E5" sqref="E5"/>
    </sheetView>
  </sheetViews>
  <sheetFormatPr defaultRowHeight="15" x14ac:dyDescent="0.2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Y178"/>
  <sheetViews>
    <sheetView view="pageBreakPreview" zoomScale="60" zoomScaleNormal="52" workbookViewId="0">
      <pane xSplit="2" ySplit="10" topLeftCell="C23" activePane="bottomRight" state="frozen"/>
      <selection pane="topRight" activeCell="C1" sqref="C1"/>
      <selection pane="bottomLeft" activeCell="A11" sqref="A11"/>
      <selection pane="bottomRight" activeCell="G31" sqref="G31"/>
    </sheetView>
  </sheetViews>
  <sheetFormatPr defaultColWidth="9.140625" defaultRowHeight="15.75" outlineLevelRow="1" outlineLevelCol="1" x14ac:dyDescent="0.25"/>
  <cols>
    <col min="1" max="1" width="9.5703125" style="55" customWidth="1"/>
    <col min="2" max="2" width="60.42578125" style="105" customWidth="1"/>
    <col min="3" max="3" width="0.28515625" style="55" customWidth="1" outlineLevel="1" collapsed="1"/>
    <col min="4" max="4" width="9" style="55" customWidth="1" outlineLevel="1"/>
    <col min="5" max="5" width="9" style="55" customWidth="1" outlineLevel="1" collapsed="1"/>
    <col min="6" max="6" width="25.140625" style="55" customWidth="1" outlineLevel="1"/>
    <col min="7" max="7" width="13.5703125" style="55" customWidth="1" outlineLevel="1"/>
    <col min="8" max="8" width="43.5703125" style="55" customWidth="1" outlineLevel="1"/>
    <col min="9" max="9" width="13.5703125" style="55" customWidth="1" outlineLevel="1"/>
    <col min="10" max="10" width="27.7109375" style="55" customWidth="1" outlineLevel="1"/>
    <col min="11" max="11" width="13.85546875" style="55" customWidth="1" outlineLevel="1"/>
    <col min="12" max="12" width="19.5703125" style="55" customWidth="1" outlineLevel="1"/>
    <col min="13" max="13" width="14.140625" style="55" customWidth="1" outlineLevel="1"/>
    <col min="14" max="14" width="6.42578125" style="55" customWidth="1" outlineLevel="1"/>
    <col min="15" max="15" width="24.85546875" style="55" customWidth="1" outlineLevel="1"/>
    <col min="16" max="16" width="19.7109375" style="55" customWidth="1" outlineLevel="1"/>
    <col min="17" max="17" width="16.5703125" style="55" customWidth="1" outlineLevel="1"/>
    <col min="18" max="18" width="19.140625" style="55" customWidth="1" outlineLevel="1"/>
    <col min="19" max="19" width="14.42578125" style="55" hidden="1" customWidth="1" collapsed="1"/>
    <col min="20" max="20" width="23.42578125" style="105" customWidth="1"/>
    <col min="21" max="21" width="22" style="105" customWidth="1"/>
    <col min="22" max="22" width="20.7109375" style="105" customWidth="1"/>
    <col min="23" max="23" width="0.42578125" style="55" hidden="1" customWidth="1"/>
    <col min="24" max="24" width="150.42578125" style="55" customWidth="1" collapsed="1"/>
    <col min="25" max="25" width="9.85546875" style="55" customWidth="1"/>
    <col min="26" max="26" width="14.140625" style="55" customWidth="1"/>
    <col min="27" max="27" width="15.42578125" style="55" customWidth="1"/>
    <col min="28" max="16384" width="9.140625" style="55"/>
  </cols>
  <sheetData>
    <row r="1" spans="1:24" ht="18.75" x14ac:dyDescent="0.25">
      <c r="A1" s="59"/>
    </row>
    <row r="2" spans="1:24" ht="15" x14ac:dyDescent="0.25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</row>
    <row r="3" spans="1:24" ht="15" x14ac:dyDescent="0.25">
      <c r="A3" s="452" t="s">
        <v>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</row>
    <row r="4" spans="1:24" ht="15" x14ac:dyDescent="0.25">
      <c r="A4" s="452" t="s">
        <v>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</row>
    <row r="5" spans="1:24" ht="15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</row>
    <row r="6" spans="1:24" ht="15" x14ac:dyDescent="0.25">
      <c r="A6" s="450" t="s">
        <v>187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  <c r="X6" s="451"/>
    </row>
    <row r="7" spans="1:24" ht="18.75" x14ac:dyDescent="0.25">
      <c r="A7" s="59"/>
    </row>
    <row r="8" spans="1:24" ht="33.75" customHeight="1" x14ac:dyDescent="0.25">
      <c r="A8" s="383" t="s">
        <v>24</v>
      </c>
      <c r="B8" s="537" t="s">
        <v>4</v>
      </c>
      <c r="C8" s="51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51"/>
      <c r="T8" s="537" t="s">
        <v>23</v>
      </c>
      <c r="U8" s="537"/>
      <c r="V8" s="537"/>
      <c r="W8" s="51"/>
      <c r="X8" s="383" t="s">
        <v>120</v>
      </c>
    </row>
    <row r="9" spans="1:24" ht="30.75" customHeight="1" x14ac:dyDescent="0.25">
      <c r="A9" s="383"/>
      <c r="B9" s="537"/>
      <c r="C9" s="51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51"/>
      <c r="T9" s="106" t="s">
        <v>122</v>
      </c>
      <c r="U9" s="106" t="s">
        <v>179</v>
      </c>
      <c r="V9" s="106" t="s">
        <v>188</v>
      </c>
      <c r="W9" s="51"/>
      <c r="X9" s="383"/>
    </row>
    <row r="10" spans="1:24" ht="21.75" customHeight="1" x14ac:dyDescent="0.25">
      <c r="A10" s="51">
        <v>1</v>
      </c>
      <c r="B10" s="107">
        <v>2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107">
        <v>3</v>
      </c>
      <c r="U10" s="107">
        <v>4</v>
      </c>
      <c r="V10" s="107">
        <v>5</v>
      </c>
      <c r="W10" s="51"/>
      <c r="X10" s="61">
        <v>6</v>
      </c>
    </row>
    <row r="11" spans="1:24" ht="72.75" customHeight="1" x14ac:dyDescent="0.25">
      <c r="A11" s="62">
        <v>1</v>
      </c>
      <c r="B11" s="115" t="s">
        <v>86</v>
      </c>
      <c r="C11" s="63"/>
      <c r="D11" s="53" t="s">
        <v>35</v>
      </c>
      <c r="E11" s="53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108">
        <f>SUM(T12,T25)</f>
        <v>3158500</v>
      </c>
      <c r="U11" s="108">
        <f>SUM(U12,U25)</f>
        <v>3287300</v>
      </c>
      <c r="V11" s="108">
        <f>SUM(V12,V25)</f>
        <v>3419900</v>
      </c>
      <c r="W11" s="63"/>
      <c r="X11" s="54" t="str">
        <f>"Нормативные "&amp;TEXT(B11,"0")&amp;" включают в себя:
нормативные "&amp;TEXT(B12,"0")&amp;";
нормативные "&amp;TEXT(B25,"0")&amp;""</f>
        <v>Нормативные затраты на информационно-коммуникационные технологии включают в себя:
нормативные затраты на приобретение прочих работ и услуг, не относящихся к затратам на услуги связи, аренду и содержание имущества;
нормативные затраты на приобретение материальных запасов в сфере информационно-коммуникационных технологий</v>
      </c>
    </row>
    <row r="12" spans="1:24" ht="81" customHeight="1" x14ac:dyDescent="0.25">
      <c r="A12" s="51" t="s">
        <v>5</v>
      </c>
      <c r="B12" s="116" t="s">
        <v>87</v>
      </c>
      <c r="C12" s="52"/>
      <c r="D12" s="53" t="s">
        <v>35</v>
      </c>
      <c r="E12" s="53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109">
        <f>SUM(T13)</f>
        <v>1591100</v>
      </c>
      <c r="U12" s="109">
        <f t="shared" ref="U12:V13" si="0">SUM(U13)</f>
        <v>1656100</v>
      </c>
      <c r="V12" s="109">
        <f>SUM(V13)</f>
        <v>1723600</v>
      </c>
      <c r="W12" s="52"/>
      <c r="X12" s="54" t="str">
        <f>"Нормативные "&amp;TEXT(B12,"0")&amp;" включают в себя:
нормативные "&amp;TEXT(B13,"0")&amp;""</f>
        <v>Нормативные затраты на приобретение прочих работ и услуг, не относящихся к затратам на услуги связи, аренду и содержание имущества включают в себя:
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v>
      </c>
    </row>
    <row r="13" spans="1:24" ht="72" customHeight="1" x14ac:dyDescent="0.25">
      <c r="A13" s="51" t="s">
        <v>6</v>
      </c>
      <c r="B13" s="116" t="s">
        <v>88</v>
      </c>
      <c r="C13" s="52"/>
      <c r="D13" s="53" t="s">
        <v>35</v>
      </c>
      <c r="E13" s="53" t="s">
        <v>35</v>
      </c>
      <c r="F13" s="423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109">
        <f>SUM(T14)</f>
        <v>1591100</v>
      </c>
      <c r="U13" s="109">
        <f t="shared" si="0"/>
        <v>1656100</v>
      </c>
      <c r="V13" s="109">
        <f t="shared" si="0"/>
        <v>1723600</v>
      </c>
      <c r="W13" s="52"/>
      <c r="X13" s="54" t="str">
        <f>"Нормативные "&amp;TEXT(B13,"0")&amp;" включают в себя:
нормативные "&amp;TEXT(B14,"0")&amp;""</f>
        <v>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 включают в себя:
нормативные затраты на оплату услуг по сопровождению и приобретению иного программного обеспечения</v>
      </c>
    </row>
    <row r="14" spans="1:24" ht="63" customHeight="1" x14ac:dyDescent="0.25">
      <c r="A14" s="51" t="s">
        <v>27</v>
      </c>
      <c r="B14" s="116" t="s">
        <v>89</v>
      </c>
      <c r="C14" s="52"/>
      <c r="D14" s="53" t="s">
        <v>35</v>
      </c>
      <c r="E14" s="53" t="s">
        <v>35</v>
      </c>
      <c r="F14" s="423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109">
        <f>SUM(T15,T20)</f>
        <v>1591100</v>
      </c>
      <c r="U14" s="109">
        <f>SUM(U15,U20)</f>
        <v>1656100</v>
      </c>
      <c r="V14" s="109">
        <f>SUM(V15,V20)</f>
        <v>1723600</v>
      </c>
      <c r="W14" s="52"/>
      <c r="X14" s="54" t="str">
        <f>"Нормативные "&amp;TEXT(B14,"0")&amp;" включают в себя:
нормативные "&amp;TEXT(B15,"0")&amp;";
нормативные "&amp;TEXT(B20,"0")&amp;""</f>
        <v>Нормативные затраты на оплату услуг по сопровождению и приобретению иного программного обеспечения включают в себя:
нормативные затраты на оплату услуг по сопровождению и обслуживанию программного комплекса "АРГОС-Налогоплательщик";
нормативные затраты на оплату услуг по сопровождению и приобретению иного программного обеспечения</v>
      </c>
    </row>
    <row r="15" spans="1:24" ht="140.25" customHeight="1" x14ac:dyDescent="0.25">
      <c r="A15" s="383" t="s">
        <v>28</v>
      </c>
      <c r="B15" s="617" t="s">
        <v>90</v>
      </c>
      <c r="C15" s="64"/>
      <c r="D15" s="619" t="s">
        <v>142</v>
      </c>
      <c r="E15" s="619">
        <v>242</v>
      </c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65"/>
      <c r="T15" s="477">
        <f>O17</f>
        <v>494000</v>
      </c>
      <c r="U15" s="477">
        <f>O18</f>
        <v>514200</v>
      </c>
      <c r="V15" s="477">
        <f>O19</f>
        <v>535100</v>
      </c>
      <c r="W15" s="64"/>
      <c r="X15" s="54" t="s">
        <v>175</v>
      </c>
    </row>
    <row r="16" spans="1:24" ht="13.5" customHeight="1" outlineLevel="1" x14ac:dyDescent="0.25">
      <c r="A16" s="437"/>
      <c r="B16" s="618"/>
      <c r="C16" s="64"/>
      <c r="D16" s="437"/>
      <c r="E16" s="620"/>
      <c r="F16" s="61" t="s">
        <v>183</v>
      </c>
      <c r="G16" s="66">
        <v>114</v>
      </c>
      <c r="H16" s="67" t="s">
        <v>62</v>
      </c>
      <c r="I16" s="66">
        <v>4</v>
      </c>
      <c r="J16" s="67" t="s">
        <v>121</v>
      </c>
      <c r="K16" s="66">
        <v>1002.85</v>
      </c>
      <c r="L16" s="67" t="s">
        <v>41</v>
      </c>
      <c r="M16" s="66">
        <f>ROUND((G16*I16*K16),2)</f>
        <v>457299.6</v>
      </c>
      <c r="N16" s="67" t="s">
        <v>37</v>
      </c>
      <c r="O16" s="67"/>
      <c r="P16" s="67"/>
      <c r="Q16" s="67"/>
      <c r="R16" s="65"/>
      <c r="S16" s="65"/>
      <c r="T16" s="477"/>
      <c r="U16" s="477"/>
      <c r="V16" s="477"/>
      <c r="W16" s="64"/>
      <c r="X16" s="54"/>
    </row>
    <row r="17" spans="1:24" ht="20.25" customHeight="1" x14ac:dyDescent="0.25">
      <c r="A17" s="437"/>
      <c r="B17" s="618"/>
      <c r="C17" s="64"/>
      <c r="D17" s="437"/>
      <c r="E17" s="620"/>
      <c r="F17" s="68" t="s">
        <v>150</v>
      </c>
      <c r="G17" s="66">
        <v>114</v>
      </c>
      <c r="H17" s="65" t="s">
        <v>195</v>
      </c>
      <c r="I17" s="69">
        <v>4</v>
      </c>
      <c r="J17" s="67" t="s">
        <v>25</v>
      </c>
      <c r="K17" s="66">
        <v>1083.22</v>
      </c>
      <c r="L17" s="67" t="s">
        <v>41</v>
      </c>
      <c r="M17" s="70">
        <f>K17*G17*I17</f>
        <v>493948.32</v>
      </c>
      <c r="N17" s="71" t="s">
        <v>37</v>
      </c>
      <c r="O17" s="70">
        <f>ROUNDUP((M17),-2)</f>
        <v>494000</v>
      </c>
      <c r="P17" s="71" t="s">
        <v>37</v>
      </c>
      <c r="Q17" s="72"/>
      <c r="R17" s="72"/>
      <c r="S17" s="65"/>
      <c r="T17" s="477"/>
      <c r="U17" s="477"/>
      <c r="V17" s="477"/>
      <c r="W17" s="64"/>
      <c r="X17" s="54" t="str">
        <f>""&amp;TEXT(G17,"00,0")&amp;" пользователей х "&amp;TEXT(I17,"0,0")&amp;" кв. х "&amp;TEXT(ROUND((K17),2),"000,00")&amp;" руб. = "&amp;TEXT(ROUND((M17),2),"0 000,00")&amp;" руб. = "&amp;TEXT(O17,"0 000,00")&amp;" руб."</f>
        <v>114,0 пользователей х 4,0 кв. х 1083,22 руб. = 493 948,32 руб. = 494 000,00 руб.</v>
      </c>
    </row>
    <row r="18" spans="1:24" ht="20.25" customHeight="1" x14ac:dyDescent="0.25">
      <c r="A18" s="437"/>
      <c r="B18" s="618"/>
      <c r="C18" s="64"/>
      <c r="D18" s="437"/>
      <c r="E18" s="620"/>
      <c r="F18" s="68" t="s">
        <v>151</v>
      </c>
      <c r="G18" s="66">
        <v>114</v>
      </c>
      <c r="H18" s="67" t="str">
        <f>H17</f>
        <v xml:space="preserve">руб. х индекс потребительских цен </v>
      </c>
      <c r="I18" s="69">
        <v>4</v>
      </c>
      <c r="J18" s="67" t="s">
        <v>25</v>
      </c>
      <c r="K18" s="69">
        <v>1127.42</v>
      </c>
      <c r="L18" s="67" t="s">
        <v>41</v>
      </c>
      <c r="M18" s="70">
        <f t="shared" ref="M18:M19" si="1">K18*G18*I18</f>
        <v>514103.52</v>
      </c>
      <c r="N18" s="67" t="s">
        <v>41</v>
      </c>
      <c r="O18" s="70">
        <f>ROUNDUP((M18),-2)</f>
        <v>514200</v>
      </c>
      <c r="P18" s="71" t="s">
        <v>37</v>
      </c>
      <c r="Q18" s="72"/>
      <c r="R18" s="72"/>
      <c r="S18" s="65"/>
      <c r="T18" s="477"/>
      <c r="U18" s="477"/>
      <c r="V18" s="477"/>
      <c r="W18" s="64"/>
      <c r="X18" s="54" t="str">
        <f t="shared" ref="X18:X19" si="2">""&amp;TEXT(G18,"00,0")&amp;" пользователей х "&amp;TEXT(I18,"0,0")&amp;" кв. х "&amp;TEXT(ROUND((K18),2),"000,00")&amp;" руб. = "&amp;TEXT(ROUND((M18),2),"0 000,00")&amp;" руб. = "&amp;TEXT(O18,"0 000,00")&amp;" руб."</f>
        <v>114,0 пользователей х 4,0 кв. х 1127,42 руб. = 514 103,52 руб. = 514 200,00 руб.</v>
      </c>
    </row>
    <row r="19" spans="1:24" ht="20.25" customHeight="1" x14ac:dyDescent="0.25">
      <c r="A19" s="437"/>
      <c r="B19" s="618"/>
      <c r="C19" s="64"/>
      <c r="D19" s="437"/>
      <c r="E19" s="620"/>
      <c r="F19" s="68" t="s">
        <v>193</v>
      </c>
      <c r="G19" s="66">
        <v>114</v>
      </c>
      <c r="H19" s="67" t="str">
        <f>H17</f>
        <v xml:space="preserve">руб. х индекс потребительских цен </v>
      </c>
      <c r="I19" s="69">
        <v>4</v>
      </c>
      <c r="J19" s="67" t="s">
        <v>25</v>
      </c>
      <c r="K19" s="69">
        <f>K18*1.0408</f>
        <v>1173.4187360000001</v>
      </c>
      <c r="L19" s="67" t="s">
        <v>41</v>
      </c>
      <c r="M19" s="70">
        <f t="shared" si="1"/>
        <v>535078.943616</v>
      </c>
      <c r="N19" s="67" t="s">
        <v>25</v>
      </c>
      <c r="O19" s="70">
        <f>ROUNDUP((M19),-2)</f>
        <v>535100</v>
      </c>
      <c r="P19" s="71" t="s">
        <v>37</v>
      </c>
      <c r="Q19" s="70">
        <f>ROUNDUP((O19),-2)</f>
        <v>535100</v>
      </c>
      <c r="R19" s="71" t="s">
        <v>37</v>
      </c>
      <c r="S19" s="65"/>
      <c r="T19" s="478"/>
      <c r="U19" s="478"/>
      <c r="V19" s="478"/>
      <c r="W19" s="64"/>
      <c r="X19" s="54" t="str">
        <f t="shared" si="2"/>
        <v>114,0 пользователей х 4,0 кв. х 1173,42 руб. = 535 078,94 руб. = 535 100,00 руб.</v>
      </c>
    </row>
    <row r="20" spans="1:24" ht="102" customHeight="1" x14ac:dyDescent="0.25">
      <c r="A20" s="383" t="s">
        <v>29</v>
      </c>
      <c r="B20" s="617" t="s">
        <v>89</v>
      </c>
      <c r="C20" s="64"/>
      <c r="D20" s="619" t="s">
        <v>143</v>
      </c>
      <c r="E20" s="619">
        <v>242</v>
      </c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66"/>
      <c r="T20" s="477">
        <f>M22</f>
        <v>1097100</v>
      </c>
      <c r="U20" s="477">
        <f>M23</f>
        <v>1141900</v>
      </c>
      <c r="V20" s="477">
        <f>M24</f>
        <v>1188500</v>
      </c>
      <c r="W20" s="56"/>
      <c r="X20" s="54" t="s">
        <v>65</v>
      </c>
    </row>
    <row r="21" spans="1:24" ht="17.25" customHeight="1" outlineLevel="1" x14ac:dyDescent="0.25">
      <c r="A21" s="437"/>
      <c r="B21" s="618"/>
      <c r="C21" s="64"/>
      <c r="D21" s="437"/>
      <c r="E21" s="620"/>
      <c r="F21" s="61" t="s">
        <v>144</v>
      </c>
      <c r="G21" s="66">
        <v>480</v>
      </c>
      <c r="H21" s="67" t="s">
        <v>64</v>
      </c>
      <c r="I21" s="66">
        <v>2200</v>
      </c>
      <c r="J21" s="67" t="s">
        <v>41</v>
      </c>
      <c r="K21" s="66">
        <f>ROUND((G21*I21),2)</f>
        <v>1056000</v>
      </c>
      <c r="L21" s="67" t="s">
        <v>37</v>
      </c>
      <c r="M21" s="67"/>
      <c r="N21" s="67"/>
      <c r="O21" s="67"/>
      <c r="P21" s="67"/>
      <c r="Q21" s="67"/>
      <c r="R21" s="65"/>
      <c r="S21" s="65"/>
      <c r="T21" s="477"/>
      <c r="U21" s="477"/>
      <c r="V21" s="477"/>
      <c r="W21" s="64"/>
      <c r="X21" s="54"/>
    </row>
    <row r="22" spans="1:24" ht="22.5" customHeight="1" x14ac:dyDescent="0.25">
      <c r="A22" s="437"/>
      <c r="B22" s="618"/>
      <c r="C22" s="64"/>
      <c r="D22" s="437"/>
      <c r="E22" s="620"/>
      <c r="F22" s="68" t="s">
        <v>150</v>
      </c>
      <c r="G22" s="66">
        <v>480</v>
      </c>
      <c r="H22" s="65" t="s">
        <v>137</v>
      </c>
      <c r="I22" s="69">
        <v>2285.58</v>
      </c>
      <c r="J22" s="67" t="s">
        <v>25</v>
      </c>
      <c r="K22" s="66">
        <f>ROUND((G22*I22),2)</f>
        <v>1097078.3999999999</v>
      </c>
      <c r="L22" s="67" t="s">
        <v>41</v>
      </c>
      <c r="M22" s="70">
        <f>ROUNDUP((K22),-2)</f>
        <v>1097100</v>
      </c>
      <c r="N22" s="71" t="s">
        <v>37</v>
      </c>
      <c r="O22" s="72"/>
      <c r="P22" s="72"/>
      <c r="Q22" s="72"/>
      <c r="R22" s="72"/>
      <c r="S22" s="65"/>
      <c r="T22" s="477"/>
      <c r="U22" s="477"/>
      <c r="V22" s="477"/>
      <c r="W22" s="64"/>
      <c r="X22" s="54" t="str">
        <f>""&amp;TEXT(G22,"000,0")&amp;" часов х "&amp;TEXT(ROUND((I22),2),"0 000,00")&amp;" руб. = "&amp;TEXT(ROUND((K22),2),"0 000,00")&amp;" руб. = "&amp;TEXT(M22,"0 000,00")&amp;" руб."</f>
        <v>480,0 часов х 2 285,58 руб. = 1 097 078,40 руб. = 1 097 100,00 руб.</v>
      </c>
    </row>
    <row r="23" spans="1:24" ht="22.5" customHeight="1" x14ac:dyDescent="0.25">
      <c r="A23" s="437"/>
      <c r="B23" s="618"/>
      <c r="C23" s="64"/>
      <c r="D23" s="437"/>
      <c r="E23" s="620"/>
      <c r="F23" s="68" t="s">
        <v>151</v>
      </c>
      <c r="G23" s="66">
        <v>480</v>
      </c>
      <c r="H23" s="67" t="str">
        <f>H22</f>
        <v>руб. х индекс потребительских цен 2020 года</v>
      </c>
      <c r="I23" s="69">
        <v>2378.83</v>
      </c>
      <c r="J23" s="67" t="s">
        <v>25</v>
      </c>
      <c r="K23" s="66">
        <f t="shared" ref="K23:K24" si="3">ROUND((G23*I23),2)</f>
        <v>1141838.3999999999</v>
      </c>
      <c r="L23" s="67" t="s">
        <v>41</v>
      </c>
      <c r="M23" s="70">
        <f t="shared" ref="M23:M24" si="4">ROUNDUP((K23),-2)</f>
        <v>1141900</v>
      </c>
      <c r="N23" s="71" t="s">
        <v>37</v>
      </c>
      <c r="O23" s="70"/>
      <c r="P23" s="71"/>
      <c r="Q23" s="72"/>
      <c r="R23" s="72"/>
      <c r="S23" s="65"/>
      <c r="T23" s="477"/>
      <c r="U23" s="477"/>
      <c r="V23" s="477"/>
      <c r="W23" s="64"/>
      <c r="X23" s="54" t="str">
        <f t="shared" ref="X23:X24" si="5">""&amp;TEXT(G23,"000,0")&amp;" часов х "&amp;TEXT(ROUND((I23),2),"0 000,00")&amp;" руб. = "&amp;TEXT(ROUND((K23),2),"0 000,00")&amp;" руб. = "&amp;TEXT(M23,"0 000,00")&amp;" руб."</f>
        <v>480,0 часов х 2 378,83 руб. = 1 141 838,40 руб. = 1 141 900,00 руб.</v>
      </c>
    </row>
    <row r="24" spans="1:24" ht="22.5" customHeight="1" x14ac:dyDescent="0.25">
      <c r="A24" s="437"/>
      <c r="B24" s="618"/>
      <c r="C24" s="64"/>
      <c r="D24" s="437"/>
      <c r="E24" s="620"/>
      <c r="F24" s="68" t="s">
        <v>193</v>
      </c>
      <c r="G24" s="66">
        <v>480</v>
      </c>
      <c r="H24" s="67" t="str">
        <f>H22</f>
        <v>руб. х индекс потребительских цен 2020 года</v>
      </c>
      <c r="I24" s="69">
        <f>I23*1.0408</f>
        <v>2475.8862639999998</v>
      </c>
      <c r="J24" s="67" t="s">
        <v>25</v>
      </c>
      <c r="K24" s="66">
        <f t="shared" si="3"/>
        <v>1188425.4099999999</v>
      </c>
      <c r="L24" s="67" t="s">
        <v>41</v>
      </c>
      <c r="M24" s="70">
        <f t="shared" si="4"/>
        <v>1188500</v>
      </c>
      <c r="N24" s="71" t="s">
        <v>37</v>
      </c>
      <c r="O24" s="66"/>
      <c r="P24" s="67"/>
      <c r="Q24" s="70"/>
      <c r="R24" s="71" t="s">
        <v>37</v>
      </c>
      <c r="S24" s="65"/>
      <c r="T24" s="478"/>
      <c r="U24" s="478"/>
      <c r="V24" s="478"/>
      <c r="W24" s="64"/>
      <c r="X24" s="54" t="str">
        <f t="shared" si="5"/>
        <v>480,0 часов х 2 475,89 руб. = 1 188 425,41 руб. = 1 188 500,00 руб.</v>
      </c>
    </row>
    <row r="25" spans="1:24" ht="45" x14ac:dyDescent="0.25">
      <c r="A25" s="51" t="s">
        <v>7</v>
      </c>
      <c r="B25" s="116" t="s">
        <v>92</v>
      </c>
      <c r="C25" s="52"/>
      <c r="D25" s="53" t="s">
        <v>35</v>
      </c>
      <c r="E25" s="53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109">
        <f>SUM(T26,T30)</f>
        <v>1567400</v>
      </c>
      <c r="U25" s="109">
        <f>SUM(U26,U30)</f>
        <v>1631200</v>
      </c>
      <c r="V25" s="109">
        <f>SUM(V26,V30)</f>
        <v>1696300</v>
      </c>
      <c r="W25" s="52"/>
      <c r="X25" s="54" t="str">
        <f>"Нормативные "&amp;TEXT(B25,"0")&amp;" включают в себя:
нормативные "&amp;TEXT(B26,"0")&amp;";
нормативные "&amp;TEXT(B30,"0")&amp;""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26" spans="1:24" ht="84" customHeight="1" x14ac:dyDescent="0.25">
      <c r="A26" s="383" t="s">
        <v>8</v>
      </c>
      <c r="B26" s="617" t="s">
        <v>91</v>
      </c>
      <c r="C26" s="52"/>
      <c r="D26" s="619">
        <v>346</v>
      </c>
      <c r="E26" s="619">
        <v>242</v>
      </c>
      <c r="F26" s="380" t="s">
        <v>152</v>
      </c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65"/>
      <c r="T26" s="477">
        <f>M27</f>
        <v>82200</v>
      </c>
      <c r="U26" s="477">
        <f>M28</f>
        <v>82200</v>
      </c>
      <c r="V26" s="477">
        <f>M29</f>
        <v>82200</v>
      </c>
      <c r="W26" s="52"/>
      <c r="X26" s="54" t="s">
        <v>39</v>
      </c>
    </row>
    <row r="27" spans="1:24" ht="22.5" customHeight="1" x14ac:dyDescent="0.25">
      <c r="A27" s="383"/>
      <c r="B27" s="618"/>
      <c r="C27" s="52"/>
      <c r="D27" s="437"/>
      <c r="E27" s="437"/>
      <c r="F27" s="68" t="s">
        <v>150</v>
      </c>
      <c r="G27" s="66">
        <v>1</v>
      </c>
      <c r="H27" s="67" t="s">
        <v>40</v>
      </c>
      <c r="I27" s="66">
        <v>8214565.8300000001</v>
      </c>
      <c r="J27" s="67" t="s">
        <v>41</v>
      </c>
      <c r="K27" s="66">
        <f>ROUND((G27%*I27),2)</f>
        <v>82145.66</v>
      </c>
      <c r="L27" s="67" t="s">
        <v>41</v>
      </c>
      <c r="M27" s="70">
        <f>ROUNDUP((K27),-2)</f>
        <v>82200</v>
      </c>
      <c r="N27" s="71" t="s">
        <v>37</v>
      </c>
      <c r="O27" s="61"/>
      <c r="P27" s="61"/>
      <c r="Q27" s="61"/>
      <c r="R27" s="61"/>
      <c r="S27" s="65"/>
      <c r="T27" s="477"/>
      <c r="U27" s="477"/>
      <c r="V27" s="477"/>
      <c r="W27" s="52"/>
      <c r="X27" s="54" t="str">
        <f>"норматив "&amp;TEXT(G27,"0,0")&amp;" % х "&amp;TEXT(I27,"0 000,00")&amp;" руб. = "&amp;TEXT(K27,"0 000,00")&amp;" руб. = "&amp;TEXT(M27,"0 000,00")&amp;" руб."</f>
        <v>норматив 1,0 % х 8 214 565,83 руб. = 82 145,66 руб. = 82 200,00 руб.</v>
      </c>
    </row>
    <row r="28" spans="1:24" ht="20.25" customHeight="1" x14ac:dyDescent="0.25">
      <c r="A28" s="383"/>
      <c r="B28" s="618"/>
      <c r="C28" s="52"/>
      <c r="D28" s="437"/>
      <c r="E28" s="437"/>
      <c r="F28" s="68" t="s">
        <v>151</v>
      </c>
      <c r="G28" s="66">
        <v>1</v>
      </c>
      <c r="H28" s="67" t="s">
        <v>40</v>
      </c>
      <c r="I28" s="66">
        <f>I27</f>
        <v>8214565.8300000001</v>
      </c>
      <c r="J28" s="67" t="s">
        <v>41</v>
      </c>
      <c r="K28" s="66">
        <f>ROUND((G28%*I28),2)</f>
        <v>82145.66</v>
      </c>
      <c r="L28" s="67" t="s">
        <v>41</v>
      </c>
      <c r="M28" s="70">
        <f t="shared" ref="M28:M29" si="6">ROUNDUP((K28),-2)</f>
        <v>82200</v>
      </c>
      <c r="N28" s="71" t="s">
        <v>37</v>
      </c>
      <c r="O28" s="61"/>
      <c r="P28" s="61"/>
      <c r="Q28" s="61"/>
      <c r="R28" s="61"/>
      <c r="S28" s="65"/>
      <c r="T28" s="477"/>
      <c r="U28" s="477"/>
      <c r="V28" s="477"/>
      <c r="W28" s="52"/>
      <c r="X28" s="54" t="str">
        <f>"норматив "&amp;TEXT(G28,"0,0")&amp;" % х "&amp;TEXT(I28,"0 000,00")&amp;" руб. = "&amp;TEXT(K28,"0 000,00")&amp;" руб. = "&amp;TEXT(M28,"0 000,00")&amp;" руб."</f>
        <v>норматив 1,0 % х 8 214 565,83 руб. = 82 145,66 руб. = 82 200,00 руб.</v>
      </c>
    </row>
    <row r="29" spans="1:24" ht="21.75" customHeight="1" x14ac:dyDescent="0.25">
      <c r="A29" s="383"/>
      <c r="B29" s="618"/>
      <c r="C29" s="52"/>
      <c r="D29" s="437"/>
      <c r="E29" s="437"/>
      <c r="F29" s="68" t="s">
        <v>193</v>
      </c>
      <c r="G29" s="66">
        <v>1</v>
      </c>
      <c r="H29" s="67" t="s">
        <v>40</v>
      </c>
      <c r="I29" s="66">
        <f>I27</f>
        <v>8214565.8300000001</v>
      </c>
      <c r="J29" s="67" t="s">
        <v>41</v>
      </c>
      <c r="K29" s="66">
        <f>ROUND((G29%*I29),2)</f>
        <v>82145.66</v>
      </c>
      <c r="L29" s="67" t="s">
        <v>41</v>
      </c>
      <c r="M29" s="70">
        <f t="shared" si="6"/>
        <v>82200</v>
      </c>
      <c r="N29" s="71" t="s">
        <v>37</v>
      </c>
      <c r="O29" s="61"/>
      <c r="P29" s="61"/>
      <c r="Q29" s="61"/>
      <c r="R29" s="61"/>
      <c r="S29" s="65"/>
      <c r="T29" s="477"/>
      <c r="U29" s="477"/>
      <c r="V29" s="477"/>
      <c r="W29" s="52"/>
      <c r="X29" s="54" t="str">
        <f>"норматив "&amp;TEXT(G29,"0,0")&amp;" % х "&amp;TEXT(I29,"0 000,00")&amp;" руб. = "&amp;TEXT(K29,"0 000,00")&amp;" руб. = "&amp;TEXT(M29,"0 000,00")&amp;" руб."</f>
        <v>норматив 1,0 % х 8 214 565,83 руб. = 82 145,66 руб. = 82 200,00 руб.</v>
      </c>
    </row>
    <row r="30" spans="1:24" ht="162.75" customHeight="1" x14ac:dyDescent="0.25">
      <c r="A30" s="383" t="s">
        <v>32</v>
      </c>
      <c r="B30" s="617" t="s">
        <v>123</v>
      </c>
      <c r="C30" s="64"/>
      <c r="D30" s="619">
        <v>346</v>
      </c>
      <c r="E30" s="619">
        <v>242</v>
      </c>
      <c r="F30" s="380" t="s">
        <v>47</v>
      </c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65"/>
      <c r="T30" s="477">
        <f>M32</f>
        <v>1485200</v>
      </c>
      <c r="U30" s="477">
        <f>M34</f>
        <v>1549000</v>
      </c>
      <c r="V30" s="477">
        <f>M36</f>
        <v>1614100</v>
      </c>
      <c r="W30" s="64"/>
      <c r="X30" s="54" t="s">
        <v>46</v>
      </c>
    </row>
    <row r="31" spans="1:24" ht="15" x14ac:dyDescent="0.25">
      <c r="A31" s="383"/>
      <c r="B31" s="618"/>
      <c r="C31" s="64"/>
      <c r="D31" s="437"/>
      <c r="E31" s="437"/>
      <c r="F31" s="68" t="s">
        <v>155</v>
      </c>
      <c r="G31" s="66">
        <v>23243</v>
      </c>
      <c r="H31" s="67" t="s">
        <v>42</v>
      </c>
      <c r="I31" s="66">
        <v>213</v>
      </c>
      <c r="J31" s="67" t="s">
        <v>45</v>
      </c>
      <c r="K31" s="66">
        <v>5</v>
      </c>
      <c r="L31" s="67" t="s">
        <v>43</v>
      </c>
      <c r="M31" s="66">
        <v>0</v>
      </c>
      <c r="N31" s="67" t="s">
        <v>44</v>
      </c>
      <c r="O31" s="66">
        <f>ROUND((G31*(I31/K31+M31)),2)</f>
        <v>990151.8</v>
      </c>
      <c r="P31" s="67" t="s">
        <v>37</v>
      </c>
      <c r="Q31" s="67"/>
      <c r="R31" s="65"/>
      <c r="S31" s="65"/>
      <c r="T31" s="477"/>
      <c r="U31" s="477"/>
      <c r="V31" s="477"/>
      <c r="W31" s="64"/>
      <c r="X31" s="459" t="str">
        <f>"норматив "&amp;TEXT(G32,"0,0")&amp;" % х (норматив "&amp;TEXT(G31,"0 000,00")&amp;" руб. х ("&amp;TEXT(I31,"000,00")&amp;" шт.ед. : срок "&amp;TEXT(K31,"0")&amp;" лет + "&amp;TEXT(M31,"0,00")&amp;" шт.ед.) = "&amp;TEXT(O31,"0 000,00")&amp;" руб.) = "&amp;TEXT(K32,"0 000,00")&amp;" руб. = "&amp;TEXT(M32,"0 000,00")&amp;" руб."</f>
        <v>норматив 150,0 % х (норматив 23 243,00 руб. х (213,00 шт.ед. : срок 5 лет + 0,00 шт.ед.) = 990 151,80 руб.) = 1 485 227,70 руб. = 1 485 200,00 руб.</v>
      </c>
    </row>
    <row r="32" spans="1:24" ht="15" x14ac:dyDescent="0.25">
      <c r="A32" s="383"/>
      <c r="B32" s="618"/>
      <c r="C32" s="64"/>
      <c r="D32" s="437"/>
      <c r="E32" s="437"/>
      <c r="F32" s="68" t="s">
        <v>198</v>
      </c>
      <c r="G32" s="66">
        <v>150</v>
      </c>
      <c r="H32" s="67" t="s">
        <v>40</v>
      </c>
      <c r="I32" s="66">
        <f>O31</f>
        <v>990151.8</v>
      </c>
      <c r="J32" s="67" t="s">
        <v>41</v>
      </c>
      <c r="K32" s="66">
        <f>ROUND((G32%*I32),2)</f>
        <v>1485227.7</v>
      </c>
      <c r="L32" s="67" t="s">
        <v>41</v>
      </c>
      <c r="M32" s="70">
        <f>ROUNDDOWN((K32),-2)</f>
        <v>1485200</v>
      </c>
      <c r="N32" s="71" t="s">
        <v>37</v>
      </c>
      <c r="O32" s="61"/>
      <c r="P32" s="61"/>
      <c r="Q32" s="61"/>
      <c r="R32" s="61"/>
      <c r="S32" s="65"/>
      <c r="T32" s="477"/>
      <c r="U32" s="477"/>
      <c r="V32" s="477"/>
      <c r="W32" s="64"/>
      <c r="X32" s="460"/>
    </row>
    <row r="33" spans="1:24" ht="15" x14ac:dyDescent="0.25">
      <c r="A33" s="383"/>
      <c r="B33" s="618"/>
      <c r="C33" s="64"/>
      <c r="D33" s="437"/>
      <c r="E33" s="437"/>
      <c r="F33" s="68" t="s">
        <v>156</v>
      </c>
      <c r="G33" s="66">
        <v>24242</v>
      </c>
      <c r="H33" s="67" t="s">
        <v>42</v>
      </c>
      <c r="I33" s="66">
        <v>213</v>
      </c>
      <c r="J33" s="67" t="s">
        <v>45</v>
      </c>
      <c r="K33" s="66">
        <v>5</v>
      </c>
      <c r="L33" s="67" t="s">
        <v>43</v>
      </c>
      <c r="M33" s="66">
        <v>0</v>
      </c>
      <c r="N33" s="67" t="s">
        <v>44</v>
      </c>
      <c r="O33" s="66">
        <f>ROUND((G33*(I33/K33+M33)),2)</f>
        <v>1032709.2</v>
      </c>
      <c r="P33" s="67" t="s">
        <v>37</v>
      </c>
      <c r="Q33" s="67"/>
      <c r="R33" s="65"/>
      <c r="S33" s="65"/>
      <c r="T33" s="477"/>
      <c r="U33" s="477"/>
      <c r="V33" s="477"/>
      <c r="W33" s="64"/>
      <c r="X33" s="459" t="str">
        <f>"норматив "&amp;TEXT(G34,"0,0")&amp;" % х (норматив "&amp;TEXT(G33,"0 000,00")&amp;" руб. х ("&amp;TEXT(I33,"000,00")&amp;" шт.ед. : срок "&amp;TEXT(K33,"0")&amp;" лет + "&amp;TEXT(M33,"0,00")&amp;" шт.ед.) = "&amp;TEXT(O33,"0 000,00")&amp;" руб.) = "&amp;TEXT(K34,"0 000,00")&amp;" руб. = "&amp;TEXT(M34,"0 000,00")&amp;" руб."</f>
        <v>норматив 150,0 % х (норматив 24 242,00 руб. х (213,00 шт.ед. : срок 5 лет + 0,00 шт.ед.) = 1 032 709,20 руб.) = 1 549 063,80 руб. = 1 549 000,00 руб.</v>
      </c>
    </row>
    <row r="34" spans="1:24" ht="15" x14ac:dyDescent="0.25">
      <c r="A34" s="383"/>
      <c r="B34" s="618"/>
      <c r="C34" s="64"/>
      <c r="D34" s="437"/>
      <c r="E34" s="437"/>
      <c r="F34" s="68" t="s">
        <v>151</v>
      </c>
      <c r="G34" s="66">
        <v>150</v>
      </c>
      <c r="H34" s="67" t="s">
        <v>40</v>
      </c>
      <c r="I34" s="66">
        <f>O33</f>
        <v>1032709.2</v>
      </c>
      <c r="J34" s="67" t="s">
        <v>41</v>
      </c>
      <c r="K34" s="66">
        <f>ROUND((G34%*I34),2)</f>
        <v>1549063.8</v>
      </c>
      <c r="L34" s="67" t="s">
        <v>41</v>
      </c>
      <c r="M34" s="70">
        <f>ROUNDDOWN((K34),-2)</f>
        <v>1549000</v>
      </c>
      <c r="N34" s="71" t="s">
        <v>37</v>
      </c>
      <c r="O34" s="61"/>
      <c r="P34" s="61"/>
      <c r="Q34" s="61"/>
      <c r="R34" s="61"/>
      <c r="S34" s="65"/>
      <c r="T34" s="638"/>
      <c r="U34" s="638"/>
      <c r="V34" s="638"/>
      <c r="W34" s="64"/>
      <c r="X34" s="460"/>
    </row>
    <row r="35" spans="1:24" ht="15" x14ac:dyDescent="0.25">
      <c r="A35" s="383"/>
      <c r="B35" s="618"/>
      <c r="C35" s="64"/>
      <c r="D35" s="437"/>
      <c r="E35" s="437"/>
      <c r="F35" s="68" t="s">
        <v>199</v>
      </c>
      <c r="G35" s="66">
        <v>25260</v>
      </c>
      <c r="H35" s="67" t="s">
        <v>42</v>
      </c>
      <c r="I35" s="66">
        <v>213</v>
      </c>
      <c r="J35" s="67" t="s">
        <v>45</v>
      </c>
      <c r="K35" s="66">
        <v>5</v>
      </c>
      <c r="L35" s="67" t="s">
        <v>43</v>
      </c>
      <c r="M35" s="66">
        <v>0</v>
      </c>
      <c r="N35" s="67" t="s">
        <v>44</v>
      </c>
      <c r="O35" s="66">
        <f>ROUND((G35*(I35/K35+M35)),2)</f>
        <v>1076076</v>
      </c>
      <c r="P35" s="67" t="s">
        <v>37</v>
      </c>
      <c r="Q35" s="67"/>
      <c r="R35" s="65"/>
      <c r="S35" s="61"/>
      <c r="T35" s="638"/>
      <c r="U35" s="638"/>
      <c r="V35" s="638"/>
      <c r="W35" s="64"/>
      <c r="X35" s="459" t="str">
        <f>"норматив "&amp;TEXT(G36,"0,0")&amp;" % х (норматив "&amp;TEXT(G35,"0 000,00")&amp;" руб. х ("&amp;TEXT(I35,"000,00")&amp;" шт.ед. : срок "&amp;TEXT(K35,"0")&amp;" лет + "&amp;TEXT(M35,"0,00")&amp;" шт.ед.) = "&amp;TEXT(O35,"0 000,00")&amp;" руб.) = "&amp;TEXT(K36,"0 000,00")&amp;" руб. = "&amp;TEXT(M36,"0 000,00")&amp;" руб."</f>
        <v>норматив 150,0 % х (норматив 25 260,00 руб. х (213,00 шт.ед. : срок 5 лет + 0,00 шт.ед.) = 1 076 076,00 руб.) = 1 614 114,00 руб. = 1 614 100,00 руб.</v>
      </c>
    </row>
    <row r="36" spans="1:24" ht="21" customHeight="1" x14ac:dyDescent="0.25">
      <c r="A36" s="383"/>
      <c r="B36" s="618"/>
      <c r="C36" s="52"/>
      <c r="D36" s="437"/>
      <c r="E36" s="437"/>
      <c r="F36" s="68" t="s">
        <v>193</v>
      </c>
      <c r="G36" s="66">
        <v>150</v>
      </c>
      <c r="H36" s="67" t="s">
        <v>40</v>
      </c>
      <c r="I36" s="66">
        <f>O35</f>
        <v>1076076</v>
      </c>
      <c r="J36" s="67" t="s">
        <v>41</v>
      </c>
      <c r="K36" s="66">
        <f>ROUND((G36%*I36),2)</f>
        <v>1614114</v>
      </c>
      <c r="L36" s="67" t="s">
        <v>41</v>
      </c>
      <c r="M36" s="70">
        <f>ROUNDDOWN((K36),-2)</f>
        <v>1614100</v>
      </c>
      <c r="N36" s="71" t="s">
        <v>37</v>
      </c>
      <c r="O36" s="61"/>
      <c r="P36" s="61"/>
      <c r="Q36" s="61"/>
      <c r="R36" s="61"/>
      <c r="S36" s="65"/>
      <c r="T36" s="638"/>
      <c r="U36" s="638"/>
      <c r="V36" s="638"/>
      <c r="W36" s="52"/>
      <c r="X36" s="460"/>
    </row>
    <row r="37" spans="1:24" ht="150" customHeight="1" x14ac:dyDescent="0.25">
      <c r="A37" s="62">
        <v>2</v>
      </c>
      <c r="B37" s="115" t="s">
        <v>118</v>
      </c>
      <c r="C37" s="63"/>
      <c r="D37" s="53" t="s">
        <v>35</v>
      </c>
      <c r="E37" s="53" t="s">
        <v>35</v>
      </c>
      <c r="F37" s="439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108">
        <f>SUM(T38,T85,T113,T128,T152)</f>
        <v>10303200</v>
      </c>
      <c r="U37" s="108">
        <f>SUM(U38,U85,U113,U128,U152)</f>
        <v>10730500</v>
      </c>
      <c r="V37" s="108">
        <f>SUM(V38,V85,V113,V128,V152)</f>
        <v>11177500</v>
      </c>
      <c r="W37" s="63"/>
      <c r="X37" s="54" t="str">
        <f>"Нормативные "&amp;TEXT(B37,"0")&amp;" включают в себя:
нормативные "&amp;TEXT(B38,"0")&amp;";
нормативные "&amp;TEXT(B85,"0")&amp;" "&amp;TEXT(B86,"0")&amp;";
нормативные "&amp;TEXT(B113,"0")&amp;";
нормативные "&amp;TEXT(B128,"0")&amp;";
нормативные "&amp;TEXT(B152,"0")&amp;""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38" spans="1:24" ht="85.5" customHeight="1" x14ac:dyDescent="0.25">
      <c r="A38" s="51" t="s">
        <v>9</v>
      </c>
      <c r="B38" s="116" t="s">
        <v>117</v>
      </c>
      <c r="C38" s="52"/>
      <c r="D38" s="53" t="s">
        <v>35</v>
      </c>
      <c r="E38" s="53" t="s">
        <v>35</v>
      </c>
      <c r="F38" s="423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108">
        <f>SUM(T39,T55)</f>
        <v>316800</v>
      </c>
      <c r="U38" s="108">
        <f t="shared" ref="U38:V38" si="7">SUM(U39,U55)</f>
        <v>329800</v>
      </c>
      <c r="V38" s="108">
        <f t="shared" si="7"/>
        <v>343200</v>
      </c>
      <c r="W38" s="52"/>
      <c r="X38" s="54" t="str">
        <f>"Нормативные "&amp;TEXT(B38,"0")&amp;" включают в себя:
нормативные "&amp;TEXT(B39,"0")&amp;"; нормативные "&amp;TEXT(B77,"0")&amp;";
нормативные "&amp;TEXT(B55,"0")&amp;""</f>
        <v>Нормативные затраты на содержание имущества включают в себя:
нормативные затраты на техническое обслуживание и ремонт транспортных средств; нормативные иные затраты на техническое обслуживание и содержание имущества;
нормативные затраты на техническое обслуживание и регламентно-профилактический ремонт иного оборудования</v>
      </c>
    </row>
    <row r="39" spans="1:24" ht="66.75" customHeight="1" x14ac:dyDescent="0.25">
      <c r="A39" s="74" t="s">
        <v>10</v>
      </c>
      <c r="B39" s="118" t="s">
        <v>112</v>
      </c>
      <c r="C39" s="52"/>
      <c r="D39" s="53" t="s">
        <v>35</v>
      </c>
      <c r="E39" s="53" t="s">
        <v>35</v>
      </c>
      <c r="F39" s="423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109">
        <f>SUM(T40,T45,T50)</f>
        <v>16900</v>
      </c>
      <c r="U39" s="109">
        <f t="shared" ref="U39:V39" si="8">SUM(U40,U45,U50)</f>
        <v>17600</v>
      </c>
      <c r="V39" s="109">
        <f t="shared" si="8"/>
        <v>18300</v>
      </c>
      <c r="W39" s="52"/>
      <c r="X39" s="54" t="str">
        <f>"Нормативные "&amp;TEXT(B39,"0")&amp;" включают в себя:
нормативные "&amp;TEXT(B40,"0")&amp;"; нормативные "&amp;TEXT(B77,"0")&amp;";
нормативные "&amp;TEXT(B50,"0")&amp;""</f>
        <v>Нормативные затраты на техническое обслуживание и ремонт транспортных средств включают в себя:
нормативные затраты на техническое обслуживание автомобиля; нормативные иные затраты на техническое обслуживание и содержание имущества;
нормативные затраты на ремонт автомобиля</v>
      </c>
    </row>
    <row r="40" spans="1:24" ht="120" customHeight="1" x14ac:dyDescent="0.25">
      <c r="A40" s="383" t="s">
        <v>162</v>
      </c>
      <c r="B40" s="635" t="s">
        <v>113</v>
      </c>
      <c r="C40" s="64"/>
      <c r="D40" s="619">
        <v>225</v>
      </c>
      <c r="E40" s="619">
        <v>244</v>
      </c>
      <c r="F40" s="380" t="s">
        <v>182</v>
      </c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65"/>
      <c r="T40" s="477">
        <f>O42</f>
        <v>13700</v>
      </c>
      <c r="U40" s="477">
        <f>O43</f>
        <v>14200</v>
      </c>
      <c r="V40" s="477">
        <f>O44</f>
        <v>14800</v>
      </c>
      <c r="W40" s="64"/>
      <c r="X40" s="54" t="s">
        <v>83</v>
      </c>
    </row>
    <row r="41" spans="1:24" ht="18" customHeight="1" outlineLevel="1" x14ac:dyDescent="0.25">
      <c r="A41" s="383"/>
      <c r="B41" s="636"/>
      <c r="C41" s="64"/>
      <c r="D41" s="437"/>
      <c r="E41" s="620"/>
      <c r="F41" s="61" t="s">
        <v>183</v>
      </c>
      <c r="G41" s="66">
        <v>1</v>
      </c>
      <c r="H41" s="67" t="s">
        <v>81</v>
      </c>
      <c r="I41" s="66">
        <v>1</v>
      </c>
      <c r="J41" s="67" t="s">
        <v>73</v>
      </c>
      <c r="K41" s="66"/>
      <c r="L41" s="67" t="s">
        <v>41</v>
      </c>
      <c r="M41" s="66"/>
      <c r="N41" s="67" t="s">
        <v>37</v>
      </c>
      <c r="O41" s="67"/>
      <c r="P41" s="67"/>
      <c r="Q41" s="67"/>
      <c r="R41" s="65"/>
      <c r="S41" s="65"/>
      <c r="T41" s="477"/>
      <c r="U41" s="477"/>
      <c r="V41" s="477"/>
      <c r="W41" s="64"/>
    </row>
    <row r="42" spans="1:24" ht="24" customHeight="1" x14ac:dyDescent="0.25">
      <c r="A42" s="383"/>
      <c r="B42" s="636"/>
      <c r="C42" s="64"/>
      <c r="D42" s="437"/>
      <c r="E42" s="620"/>
      <c r="F42" s="68" t="s">
        <v>150</v>
      </c>
      <c r="G42" s="66">
        <v>1</v>
      </c>
      <c r="H42" s="65" t="s">
        <v>137</v>
      </c>
      <c r="I42" s="66">
        <v>1</v>
      </c>
      <c r="J42" s="67" t="s">
        <v>25</v>
      </c>
      <c r="K42" s="66">
        <v>13609.82</v>
      </c>
      <c r="L42" s="67" t="s">
        <v>41</v>
      </c>
      <c r="M42" s="66">
        <f>ROUND((G42*I42*K42),2)</f>
        <v>13609.82</v>
      </c>
      <c r="N42" s="71" t="s">
        <v>37</v>
      </c>
      <c r="O42" s="70">
        <f>ROUNDUP((M42),-2)</f>
        <v>13700</v>
      </c>
      <c r="P42" s="71" t="s">
        <v>37</v>
      </c>
      <c r="Q42" s="72"/>
      <c r="R42" s="72"/>
      <c r="S42" s="65"/>
      <c r="T42" s="477"/>
      <c r="U42" s="477"/>
      <c r="V42" s="477"/>
      <c r="W42" s="64"/>
      <c r="X42" s="54" t="str">
        <f>""&amp;TEXT(I42,"0,0")&amp;" авт. х "&amp;TEXT(I42,"0,0")&amp;" раз х "&amp;TEXT(ROUND((K42),2),"0 000,00")&amp;" руб. = "&amp;TEXT(ROUND((M42),2),"0 000,00")&amp;" руб. = "&amp;TEXT(O42,"0 000,00")&amp;" руб."</f>
        <v>1,0 авт. х 1,0 раз х 13 609,82 руб. = 13 609,82 руб. = 13 700,00 руб.</v>
      </c>
    </row>
    <row r="43" spans="1:24" ht="20.25" customHeight="1" x14ac:dyDescent="0.25">
      <c r="A43" s="383"/>
      <c r="B43" s="636"/>
      <c r="C43" s="64"/>
      <c r="D43" s="437"/>
      <c r="E43" s="620"/>
      <c r="F43" s="68" t="s">
        <v>151</v>
      </c>
      <c r="G43" s="66">
        <v>1</v>
      </c>
      <c r="H43" s="67" t="str">
        <f>H42</f>
        <v>руб. х индекс потребительских цен 2020 года</v>
      </c>
      <c r="I43" s="66">
        <v>1</v>
      </c>
      <c r="J43" s="67" t="s">
        <v>25</v>
      </c>
      <c r="K43" s="69">
        <v>14165.1</v>
      </c>
      <c r="L43" s="67" t="s">
        <v>41</v>
      </c>
      <c r="M43" s="66">
        <f>ROUND((G43*I43*K43),2)</f>
        <v>14165.1</v>
      </c>
      <c r="N43" s="71" t="s">
        <v>37</v>
      </c>
      <c r="O43" s="70">
        <f>ROUNDUP((M43),-2)</f>
        <v>14200</v>
      </c>
      <c r="P43" s="71" t="s">
        <v>37</v>
      </c>
      <c r="Q43" s="72"/>
      <c r="R43" s="72"/>
      <c r="S43" s="72"/>
      <c r="T43" s="477"/>
      <c r="U43" s="477"/>
      <c r="V43" s="477"/>
      <c r="W43" s="64"/>
      <c r="X43" s="54" t="str">
        <f t="shared" ref="X43:X44" si="9">""&amp;TEXT(I43,"0,0")&amp;" авт. х "&amp;TEXT(I43,"0,0")&amp;" раз х "&amp;TEXT(ROUND((K43),2),"0 000,00")&amp;" руб. = "&amp;TEXT(ROUND((M43),2),"0 000,00")&amp;" руб. = "&amp;TEXT(O43,"0 000,00")&amp;" руб."</f>
        <v>1,0 авт. х 1,0 раз х 14 165,10 руб. = 14 165,10 руб. = 14 200,00 руб.</v>
      </c>
    </row>
    <row r="44" spans="1:24" ht="21.75" customHeight="1" x14ac:dyDescent="0.25">
      <c r="A44" s="383"/>
      <c r="B44" s="636"/>
      <c r="C44" s="64"/>
      <c r="D44" s="437"/>
      <c r="E44" s="620"/>
      <c r="F44" s="68" t="s">
        <v>193</v>
      </c>
      <c r="G44" s="66">
        <v>1</v>
      </c>
      <c r="H44" s="67" t="str">
        <f>H42</f>
        <v>руб. х индекс потребительских цен 2020 года</v>
      </c>
      <c r="I44" s="66">
        <v>1</v>
      </c>
      <c r="J44" s="67" t="s">
        <v>25</v>
      </c>
      <c r="K44" s="69">
        <f>K43*1.0408</f>
        <v>14743.03608</v>
      </c>
      <c r="L44" s="67" t="s">
        <v>41</v>
      </c>
      <c r="M44" s="66">
        <f>ROUND((G44*I44*K44),2)</f>
        <v>14743.04</v>
      </c>
      <c r="N44" s="71" t="s">
        <v>37</v>
      </c>
      <c r="O44" s="70">
        <f>ROUNDUP((M44),-2)</f>
        <v>14800</v>
      </c>
      <c r="P44" s="71" t="s">
        <v>37</v>
      </c>
      <c r="Q44" s="70">
        <f>ROUNDUP((O44),-2)</f>
        <v>14800</v>
      </c>
      <c r="R44" s="71" t="s">
        <v>37</v>
      </c>
      <c r="S44" s="71"/>
      <c r="T44" s="477"/>
      <c r="U44" s="477"/>
      <c r="V44" s="477"/>
      <c r="W44" s="64"/>
      <c r="X44" s="54" t="str">
        <f t="shared" si="9"/>
        <v>1,0 авт. х 1,0 раз х 14 743,04 руб. = 14 743,04 руб. = 14 800,00 руб.</v>
      </c>
    </row>
    <row r="45" spans="1:24" ht="120.75" customHeight="1" x14ac:dyDescent="0.25">
      <c r="A45" s="383" t="s">
        <v>163</v>
      </c>
      <c r="B45" s="617" t="s">
        <v>114</v>
      </c>
      <c r="C45" s="64"/>
      <c r="D45" s="619">
        <v>225</v>
      </c>
      <c r="E45" s="619">
        <v>244</v>
      </c>
      <c r="F45" s="380" t="s">
        <v>178</v>
      </c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65"/>
      <c r="T45" s="477">
        <f>O47</f>
        <v>1200</v>
      </c>
      <c r="U45" s="477">
        <f>O48</f>
        <v>1300</v>
      </c>
      <c r="V45" s="477">
        <f>O49</f>
        <v>1300</v>
      </c>
      <c r="W45" s="64"/>
      <c r="X45" s="54" t="s">
        <v>82</v>
      </c>
    </row>
    <row r="46" spans="1:24" ht="21.75" customHeight="1" outlineLevel="1" x14ac:dyDescent="0.25">
      <c r="A46" s="383"/>
      <c r="B46" s="618"/>
      <c r="C46" s="64"/>
      <c r="D46" s="437"/>
      <c r="E46" s="437"/>
      <c r="F46" s="61"/>
      <c r="G46" s="66"/>
      <c r="H46" s="67" t="s">
        <v>81</v>
      </c>
      <c r="I46" s="66">
        <v>1</v>
      </c>
      <c r="J46" s="67" t="s">
        <v>177</v>
      </c>
      <c r="K46" s="66"/>
      <c r="L46" s="67" t="s">
        <v>41</v>
      </c>
      <c r="M46" s="66">
        <f>ROUND((G46*I46*K46),2)</f>
        <v>0</v>
      </c>
      <c r="N46" s="67" t="s">
        <v>37</v>
      </c>
      <c r="O46" s="67"/>
      <c r="P46" s="67"/>
      <c r="Q46" s="67"/>
      <c r="R46" s="65"/>
      <c r="S46" s="65"/>
      <c r="T46" s="477"/>
      <c r="U46" s="477"/>
      <c r="V46" s="477"/>
      <c r="W46" s="64"/>
    </row>
    <row r="47" spans="1:24" ht="21" customHeight="1" x14ac:dyDescent="0.25">
      <c r="A47" s="383"/>
      <c r="B47" s="618"/>
      <c r="C47" s="64"/>
      <c r="D47" s="437"/>
      <c r="E47" s="437"/>
      <c r="F47" s="68" t="s">
        <v>150</v>
      </c>
      <c r="G47" s="66">
        <v>1</v>
      </c>
      <c r="H47" s="65" t="s">
        <v>195</v>
      </c>
      <c r="I47" s="69">
        <v>1</v>
      </c>
      <c r="J47" s="67" t="s">
        <v>25</v>
      </c>
      <c r="K47" s="66">
        <v>1168.28</v>
      </c>
      <c r="L47" s="67" t="s">
        <v>41</v>
      </c>
      <c r="M47" s="66">
        <f>ROUND((G47*I47*K47),2)</f>
        <v>1168.28</v>
      </c>
      <c r="N47" s="71" t="s">
        <v>37</v>
      </c>
      <c r="O47" s="70">
        <f>ROUNDUP((M47),-2)</f>
        <v>1200</v>
      </c>
      <c r="P47" s="71" t="s">
        <v>37</v>
      </c>
      <c r="Q47" s="72"/>
      <c r="R47" s="72"/>
      <c r="S47" s="65"/>
      <c r="T47" s="477"/>
      <c r="U47" s="477"/>
      <c r="V47" s="477"/>
      <c r="W47" s="64"/>
      <c r="X47" s="54" t="str">
        <f>""&amp;TEXT(G47,"0,0")&amp;" авт. х "&amp;TEXT(I47,"0,0")&amp;" раз х "&amp;TEXT(ROUND((K47),2),"000,00")&amp;" руб. = "&amp;TEXT(ROUND((M47),2),"000,00")&amp;" руб. = "&amp;TEXT(O47,"0 000,00")&amp;" руб."</f>
        <v>1,0 авт. х 1,0 раз х 1168,28 руб. = 1168,28 руб. = 1 200,00 руб.</v>
      </c>
    </row>
    <row r="48" spans="1:24" ht="21" customHeight="1" x14ac:dyDescent="0.25">
      <c r="A48" s="383"/>
      <c r="B48" s="618"/>
      <c r="C48" s="64"/>
      <c r="D48" s="437"/>
      <c r="E48" s="437"/>
      <c r="F48" s="68" t="s">
        <v>151</v>
      </c>
      <c r="G48" s="66">
        <v>1</v>
      </c>
      <c r="H48" s="65" t="s">
        <v>195</v>
      </c>
      <c r="I48" s="69">
        <v>1</v>
      </c>
      <c r="J48" s="67" t="s">
        <v>25</v>
      </c>
      <c r="K48" s="69">
        <v>1215.95</v>
      </c>
      <c r="L48" s="67" t="s">
        <v>41</v>
      </c>
      <c r="M48" s="66">
        <f>ROUND((G48*I48*K48),2)</f>
        <v>1215.95</v>
      </c>
      <c r="N48" s="67" t="s">
        <v>41</v>
      </c>
      <c r="O48" s="70">
        <f>ROUNDUP((M48),-2)</f>
        <v>1300</v>
      </c>
      <c r="P48" s="71" t="s">
        <v>37</v>
      </c>
      <c r="Q48" s="72"/>
      <c r="R48" s="72"/>
      <c r="S48" s="65"/>
      <c r="T48" s="477"/>
      <c r="U48" s="477"/>
      <c r="V48" s="477"/>
      <c r="W48" s="64"/>
      <c r="X48" s="54" t="str">
        <f t="shared" ref="X48:X49" si="10">""&amp;TEXT(G48,"0,0")&amp;" авт. х "&amp;TEXT(I48,"0,0")&amp;" раз х "&amp;TEXT(ROUND((K48),2),"000,00")&amp;" руб. = "&amp;TEXT(ROUND((M48),2),"000,00")&amp;" руб. = "&amp;TEXT(O48,"0 000,00")&amp;" руб."</f>
        <v>1,0 авт. х 1,0 раз х 1215,95 руб. = 1215,95 руб. = 1 300,00 руб.</v>
      </c>
    </row>
    <row r="49" spans="1:24" ht="21" customHeight="1" x14ac:dyDescent="0.25">
      <c r="A49" s="383"/>
      <c r="B49" s="618"/>
      <c r="C49" s="64"/>
      <c r="D49" s="437"/>
      <c r="E49" s="437"/>
      <c r="F49" s="68" t="s">
        <v>193</v>
      </c>
      <c r="G49" s="66">
        <v>1</v>
      </c>
      <c r="H49" s="65" t="s">
        <v>195</v>
      </c>
      <c r="I49" s="69">
        <v>1</v>
      </c>
      <c r="J49" s="67" t="s">
        <v>25</v>
      </c>
      <c r="K49" s="69">
        <f>K48*1.0408</f>
        <v>1265.5607600000001</v>
      </c>
      <c r="L49" s="67" t="s">
        <v>41</v>
      </c>
      <c r="M49" s="66">
        <f>ROUND((G49*I49*K49),2)</f>
        <v>1265.56</v>
      </c>
      <c r="N49" s="67" t="s">
        <v>25</v>
      </c>
      <c r="O49" s="70">
        <f>ROUNDUP((M49),-2)</f>
        <v>1300</v>
      </c>
      <c r="P49" s="71" t="s">
        <v>37</v>
      </c>
      <c r="Q49" s="70">
        <f>ROUNDUP((O49),-2)</f>
        <v>1300</v>
      </c>
      <c r="R49" s="71" t="s">
        <v>37</v>
      </c>
      <c r="S49" s="65"/>
      <c r="T49" s="478"/>
      <c r="U49" s="478"/>
      <c r="V49" s="478"/>
      <c r="W49" s="64"/>
      <c r="X49" s="54" t="str">
        <f t="shared" si="10"/>
        <v>1,0 авт. х 1,0 раз х 1265,56 руб. = 1265,56 руб. = 1 300,00 руб.</v>
      </c>
    </row>
    <row r="50" spans="1:24" ht="117.75" customHeight="1" x14ac:dyDescent="0.25">
      <c r="A50" s="383" t="s">
        <v>201</v>
      </c>
      <c r="B50" s="617" t="s">
        <v>202</v>
      </c>
      <c r="C50" s="64"/>
      <c r="D50" s="619">
        <v>225</v>
      </c>
      <c r="E50" s="619">
        <v>244</v>
      </c>
      <c r="F50" s="380" t="s">
        <v>178</v>
      </c>
      <c r="G50" s="380"/>
      <c r="H50" s="380"/>
      <c r="I50" s="380"/>
      <c r="J50" s="380"/>
      <c r="K50" s="380"/>
      <c r="L50" s="380"/>
      <c r="M50" s="380"/>
      <c r="N50" s="380"/>
      <c r="O50" s="380"/>
      <c r="P50" s="380"/>
      <c r="Q50" s="380"/>
      <c r="R50" s="380"/>
      <c r="S50" s="65"/>
      <c r="T50" s="477">
        <f>O52</f>
        <v>2000</v>
      </c>
      <c r="U50" s="477">
        <f>O53</f>
        <v>2100</v>
      </c>
      <c r="V50" s="477">
        <f>O54</f>
        <v>2200</v>
      </c>
      <c r="W50" s="64"/>
      <c r="X50" s="54" t="s">
        <v>212</v>
      </c>
    </row>
    <row r="51" spans="1:24" ht="21.75" customHeight="1" outlineLevel="1" x14ac:dyDescent="0.25">
      <c r="A51" s="383"/>
      <c r="B51" s="618"/>
      <c r="C51" s="64"/>
      <c r="D51" s="437"/>
      <c r="E51" s="437"/>
      <c r="F51" s="61"/>
      <c r="G51" s="66">
        <v>1</v>
      </c>
      <c r="H51" s="67" t="s">
        <v>81</v>
      </c>
      <c r="I51" s="66">
        <v>1</v>
      </c>
      <c r="J51" s="67" t="s">
        <v>177</v>
      </c>
      <c r="K51" s="66"/>
      <c r="L51" s="67" t="s">
        <v>41</v>
      </c>
      <c r="M51" s="66">
        <f>ROUND((G51*I51*K51),2)</f>
        <v>0</v>
      </c>
      <c r="N51" s="67" t="s">
        <v>37</v>
      </c>
      <c r="O51" s="67"/>
      <c r="P51" s="67"/>
      <c r="Q51" s="67"/>
      <c r="R51" s="65"/>
      <c r="S51" s="65"/>
      <c r="T51" s="477"/>
      <c r="U51" s="477"/>
      <c r="V51" s="477"/>
      <c r="W51" s="64"/>
    </row>
    <row r="52" spans="1:24" ht="21" customHeight="1" x14ac:dyDescent="0.25">
      <c r="A52" s="383"/>
      <c r="B52" s="618"/>
      <c r="C52" s="64"/>
      <c r="D52" s="437"/>
      <c r="E52" s="437"/>
      <c r="F52" s="68" t="s">
        <v>150</v>
      </c>
      <c r="G52" s="66">
        <v>1</v>
      </c>
      <c r="H52" s="65" t="s">
        <v>195</v>
      </c>
      <c r="I52" s="69">
        <v>1</v>
      </c>
      <c r="J52" s="67" t="s">
        <v>25</v>
      </c>
      <c r="K52" s="66">
        <v>1966.67</v>
      </c>
      <c r="L52" s="67" t="s">
        <v>41</v>
      </c>
      <c r="M52" s="66">
        <f>ROUND((G52*I52*K52),2)</f>
        <v>1966.67</v>
      </c>
      <c r="N52" s="71" t="s">
        <v>37</v>
      </c>
      <c r="O52" s="70">
        <f>ROUNDUP((M52),-2)</f>
        <v>2000</v>
      </c>
      <c r="P52" s="71" t="s">
        <v>37</v>
      </c>
      <c r="Q52" s="72"/>
      <c r="R52" s="72"/>
      <c r="S52" s="65"/>
      <c r="T52" s="477"/>
      <c r="U52" s="477"/>
      <c r="V52" s="477"/>
      <c r="W52" s="64"/>
      <c r="X52" s="54" t="str">
        <f>""&amp;TEXT(G52,"0,0")&amp;" авт. х "&amp;TEXT(I52,"0,0")&amp;" раз. х  "&amp;TEXT((K52),"000,00")&amp;" руб. = "&amp;TEXT((M52),"0 000,00")&amp;" руб. = "&amp;TEXT(O52,"0 000,00")&amp;" руб."</f>
        <v>1,0 авт. х 1,0 раз. х  1966,67 руб. = 1 966,67 руб. = 2 000,00 руб.</v>
      </c>
    </row>
    <row r="53" spans="1:24" ht="21" customHeight="1" x14ac:dyDescent="0.25">
      <c r="A53" s="383"/>
      <c r="B53" s="618"/>
      <c r="C53" s="64"/>
      <c r="D53" s="437"/>
      <c r="E53" s="437"/>
      <c r="F53" s="68" t="s">
        <v>151</v>
      </c>
      <c r="G53" s="66">
        <v>1</v>
      </c>
      <c r="H53" s="65" t="s">
        <v>195</v>
      </c>
      <c r="I53" s="69">
        <v>1</v>
      </c>
      <c r="J53" s="67" t="s">
        <v>25</v>
      </c>
      <c r="K53" s="69">
        <f>K52*1.0408</f>
        <v>2046.910136</v>
      </c>
      <c r="L53" s="67" t="s">
        <v>41</v>
      </c>
      <c r="M53" s="66">
        <f>ROUND((G53*I53*K53),2)</f>
        <v>2046.91</v>
      </c>
      <c r="N53" s="71" t="s">
        <v>37</v>
      </c>
      <c r="O53" s="70">
        <f>ROUNDUP((M53),-2)</f>
        <v>2100</v>
      </c>
      <c r="P53" s="71" t="s">
        <v>37</v>
      </c>
      <c r="Q53" s="72"/>
      <c r="R53" s="72"/>
      <c r="S53" s="65"/>
      <c r="T53" s="477"/>
      <c r="U53" s="477"/>
      <c r="V53" s="477"/>
      <c r="W53" s="64"/>
      <c r="X53" s="54" t="str">
        <f>""&amp;TEXT(G53,"0,0")&amp;" авт. х "&amp;TEXT(I53,"0,0")&amp;" раз. х  "&amp;TEXT((K53),"000,00")&amp;" руб. = "&amp;TEXT((M53),"0 000,00")&amp;" руб. = "&amp;TEXT(O53,"0 000,00")&amp;" руб."</f>
        <v>1,0 авт. х 1,0 раз. х  2046,91 руб. = 2 046,91 руб. = 2 100,00 руб.</v>
      </c>
    </row>
    <row r="54" spans="1:24" ht="21" customHeight="1" x14ac:dyDescent="0.25">
      <c r="A54" s="383"/>
      <c r="B54" s="618"/>
      <c r="C54" s="64"/>
      <c r="D54" s="437"/>
      <c r="E54" s="437"/>
      <c r="F54" s="68" t="s">
        <v>193</v>
      </c>
      <c r="G54" s="66">
        <v>1</v>
      </c>
      <c r="H54" s="65" t="s">
        <v>195</v>
      </c>
      <c r="I54" s="69">
        <v>1</v>
      </c>
      <c r="J54" s="67" t="s">
        <v>25</v>
      </c>
      <c r="K54" s="69">
        <f>K53*1.0408</f>
        <v>2130.4240695487997</v>
      </c>
      <c r="L54" s="67" t="s">
        <v>41</v>
      </c>
      <c r="M54" s="66">
        <f>ROUND((G54*I54*K54),2)</f>
        <v>2130.42</v>
      </c>
      <c r="N54" s="71" t="s">
        <v>37</v>
      </c>
      <c r="O54" s="70">
        <f>ROUNDUP((M54),-2)</f>
        <v>2200</v>
      </c>
      <c r="P54" s="71" t="s">
        <v>37</v>
      </c>
      <c r="Q54" s="70"/>
      <c r="R54" s="71"/>
      <c r="S54" s="65"/>
      <c r="T54" s="478"/>
      <c r="U54" s="478"/>
      <c r="V54" s="478"/>
      <c r="W54" s="64"/>
      <c r="X54" s="54" t="str">
        <f>""&amp;TEXT(G54,"0,0")&amp;" авт. х "&amp;TEXT(I54,"0,0")&amp;" раз. х  "&amp;TEXT((K54),"000,00")&amp;" руб. = "&amp;TEXT((M54),"0 000,00")&amp;" руб. = "&amp;TEXT(O54,"0 000,00")&amp;" руб."</f>
        <v>1,0 авт. х 1,0 раз. х  2130,42 руб. = 2 130,42 руб. = 2 200,00 руб.</v>
      </c>
    </row>
    <row r="55" spans="1:24" ht="77.25" customHeight="1" x14ac:dyDescent="0.25">
      <c r="A55" s="74" t="s">
        <v>11</v>
      </c>
      <c r="B55" s="118" t="s">
        <v>115</v>
      </c>
      <c r="C55" s="52"/>
      <c r="D55" s="53" t="s">
        <v>35</v>
      </c>
      <c r="E55" s="53" t="s">
        <v>35</v>
      </c>
      <c r="F55" s="423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109">
        <f>SUM(T56,T61,T66,T72)</f>
        <v>299900</v>
      </c>
      <c r="U55" s="109">
        <f t="shared" ref="U55:V55" si="11">SUM(U56,U61,U66,U72)</f>
        <v>312200</v>
      </c>
      <c r="V55" s="109">
        <f t="shared" si="11"/>
        <v>324900</v>
      </c>
      <c r="W55" s="52"/>
      <c r="X55" s="54" t="str">
        <f>"Нормативные "&amp;TEXT(B55,"0")&amp;" включают в себя:
нормативные "&amp;TEXT(B61,"0")&amp;";
нормативные "&amp;TEXT(B66,"0")&amp;";
нормативные "&amp;TEXT(B72,"0")&amp;""</f>
        <v>Нормативные затраты на техническое обслуживание и регламентно-профилактический ремонт иного оборудования включают в себя:
нормативные затраты по ремонту систем кондиционирования;
нормативные затраты по техническому обслуживанию и регламентно-профилактический ремонту комплексных систем обеспечения безопасности;
нормативные затраты по техническому обслуживанию счетчика банкнот</v>
      </c>
    </row>
    <row r="56" spans="1:24" s="75" customFormat="1" ht="135.75" customHeight="1" x14ac:dyDescent="0.25">
      <c r="A56" s="383" t="s">
        <v>127</v>
      </c>
      <c r="B56" s="617" t="s">
        <v>124</v>
      </c>
      <c r="C56" s="56"/>
      <c r="D56" s="619">
        <v>225</v>
      </c>
      <c r="E56" s="619">
        <v>244</v>
      </c>
      <c r="F56" s="380" t="s">
        <v>182</v>
      </c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66"/>
      <c r="T56" s="477">
        <f>O58</f>
        <v>250900</v>
      </c>
      <c r="U56" s="477">
        <f>O59</f>
        <v>261100</v>
      </c>
      <c r="V56" s="477">
        <f>O60</f>
        <v>271800</v>
      </c>
      <c r="W56" s="56"/>
      <c r="X56" s="54" t="s">
        <v>84</v>
      </c>
    </row>
    <row r="57" spans="1:24" ht="15" customHeight="1" outlineLevel="1" x14ac:dyDescent="0.25">
      <c r="A57" s="383"/>
      <c r="B57" s="618"/>
      <c r="C57" s="64"/>
      <c r="D57" s="437"/>
      <c r="E57" s="620"/>
      <c r="F57" s="76"/>
      <c r="G57" s="66"/>
      <c r="H57" s="67" t="s">
        <v>77</v>
      </c>
      <c r="I57" s="66">
        <v>1</v>
      </c>
      <c r="J57" s="67" t="s">
        <v>67</v>
      </c>
      <c r="K57" s="66"/>
      <c r="L57" s="67" t="s">
        <v>41</v>
      </c>
      <c r="M57" s="66"/>
      <c r="N57" s="67" t="s">
        <v>37</v>
      </c>
      <c r="P57" s="77" t="s">
        <v>145</v>
      </c>
      <c r="Q57" s="78"/>
      <c r="R57" s="61"/>
      <c r="S57" s="65"/>
      <c r="T57" s="477"/>
      <c r="U57" s="477"/>
      <c r="V57" s="477"/>
      <c r="W57" s="64"/>
      <c r="X57" s="54"/>
    </row>
    <row r="58" spans="1:24" ht="19.5" customHeight="1" x14ac:dyDescent="0.25">
      <c r="A58" s="383"/>
      <c r="B58" s="618"/>
      <c r="C58" s="64"/>
      <c r="D58" s="437"/>
      <c r="E58" s="620"/>
      <c r="F58" s="68" t="s">
        <v>150</v>
      </c>
      <c r="G58" s="66">
        <v>1</v>
      </c>
      <c r="H58" s="67" t="s">
        <v>77</v>
      </c>
      <c r="I58" s="69">
        <v>1</v>
      </c>
      <c r="J58" s="67" t="s">
        <v>25</v>
      </c>
      <c r="K58" s="66">
        <v>250859.84</v>
      </c>
      <c r="L58" s="67" t="s">
        <v>41</v>
      </c>
      <c r="M58" s="66">
        <f>ROUND((G58*I58*K58),2)</f>
        <v>250859.84</v>
      </c>
      <c r="N58" s="67" t="s">
        <v>37</v>
      </c>
      <c r="O58" s="70">
        <f>ROUNDUP((M58),-2)</f>
        <v>250900</v>
      </c>
      <c r="P58" s="71" t="s">
        <v>37</v>
      </c>
      <c r="Q58" s="72"/>
      <c r="R58" s="61"/>
      <c r="S58" s="72"/>
      <c r="T58" s="477"/>
      <c r="U58" s="477"/>
      <c r="V58" s="477"/>
      <c r="W58" s="64"/>
      <c r="X58" s="54" t="str">
        <f>""&amp;TEXT(G58,"0,0")&amp;" шт. х "&amp;TEXT(I58,"0,0")&amp;" раз. х  "&amp;TEXT((K58),"000,00")&amp;" руб. = "&amp;TEXT((M58),"0 000,00")&amp;" руб. = "&amp;TEXT(O58,"0 000,00")&amp;" руб."</f>
        <v>1,0 шт. х 1,0 раз. х  250859,84 руб. = 250 859,84 руб. = 250 900,00 руб.</v>
      </c>
    </row>
    <row r="59" spans="1:24" ht="19.5" customHeight="1" x14ac:dyDescent="0.25">
      <c r="A59" s="383"/>
      <c r="B59" s="618"/>
      <c r="C59" s="64"/>
      <c r="D59" s="437"/>
      <c r="E59" s="620"/>
      <c r="F59" s="68" t="s">
        <v>151</v>
      </c>
      <c r="G59" s="66">
        <v>1</v>
      </c>
      <c r="H59" s="67" t="s">
        <v>77</v>
      </c>
      <c r="I59" s="69">
        <v>1</v>
      </c>
      <c r="J59" s="67" t="s">
        <v>25</v>
      </c>
      <c r="K59" s="69">
        <v>261094.68</v>
      </c>
      <c r="L59" s="67" t="s">
        <v>41</v>
      </c>
      <c r="M59" s="66">
        <f t="shared" ref="M59:M60" si="12">ROUND((G59*I59*K59),2)</f>
        <v>261094.68</v>
      </c>
      <c r="N59" s="67" t="s">
        <v>37</v>
      </c>
      <c r="O59" s="70">
        <f>ROUNDUP((M59),-2)</f>
        <v>261100</v>
      </c>
      <c r="P59" s="71" t="s">
        <v>37</v>
      </c>
      <c r="Q59" s="72"/>
      <c r="R59" s="61"/>
      <c r="S59" s="72"/>
      <c r="T59" s="477"/>
      <c r="U59" s="477"/>
      <c r="V59" s="477"/>
      <c r="W59" s="64"/>
      <c r="X59" s="54" t="str">
        <f t="shared" ref="X59:X60" si="13">""&amp;TEXT(G59,"0,0")&amp;" шт. х "&amp;TEXT(I59,"0,0")&amp;" раз. х  "&amp;TEXT((K59),"000,00")&amp;" руб. = "&amp;TEXT((M59),"0 000,00")&amp;" руб. = "&amp;TEXT(O59,"0 000,00")&amp;" руб."</f>
        <v>1,0 шт. х 1,0 раз. х  261094,68 руб. = 261 094,68 руб. = 261 100,00 руб.</v>
      </c>
    </row>
    <row r="60" spans="1:24" ht="19.5" customHeight="1" x14ac:dyDescent="0.25">
      <c r="A60" s="383"/>
      <c r="B60" s="618"/>
      <c r="C60" s="64"/>
      <c r="D60" s="437"/>
      <c r="E60" s="620"/>
      <c r="F60" s="68" t="s">
        <v>193</v>
      </c>
      <c r="G60" s="66">
        <v>1</v>
      </c>
      <c r="H60" s="67" t="s">
        <v>77</v>
      </c>
      <c r="I60" s="69">
        <v>1</v>
      </c>
      <c r="J60" s="67" t="s">
        <v>25</v>
      </c>
      <c r="K60" s="69">
        <f>K59*1.0408</f>
        <v>271747.34294399997</v>
      </c>
      <c r="L60" s="67" t="s">
        <v>41</v>
      </c>
      <c r="M60" s="66">
        <f t="shared" si="12"/>
        <v>271747.34000000003</v>
      </c>
      <c r="N60" s="67" t="s">
        <v>37</v>
      </c>
      <c r="O60" s="70">
        <f>ROUNDUP((M60),-2)</f>
        <v>271800</v>
      </c>
      <c r="P60" s="71" t="s">
        <v>37</v>
      </c>
      <c r="Q60" s="70"/>
      <c r="R60" s="61"/>
      <c r="S60" s="71"/>
      <c r="T60" s="478"/>
      <c r="U60" s="478"/>
      <c r="V60" s="478"/>
      <c r="W60" s="64"/>
      <c r="X60" s="54" t="str">
        <f t="shared" si="13"/>
        <v>1,0 шт. х 1,0 раз. х  271747,34 руб. = 271 747,34 руб. = 271 800,00 руб.</v>
      </c>
    </row>
    <row r="61" spans="1:24" s="75" customFormat="1" ht="119.25" customHeight="1" x14ac:dyDescent="0.25">
      <c r="A61" s="383" t="s">
        <v>128</v>
      </c>
      <c r="B61" s="617" t="s">
        <v>217</v>
      </c>
      <c r="C61" s="56"/>
      <c r="D61" s="619">
        <v>225</v>
      </c>
      <c r="E61" s="619">
        <v>244</v>
      </c>
      <c r="F61" s="380"/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Q61" s="380"/>
      <c r="R61" s="380"/>
      <c r="S61" s="66"/>
      <c r="T61" s="477">
        <f>O63</f>
        <v>9700</v>
      </c>
      <c r="U61" s="477">
        <f>O64</f>
        <v>10100</v>
      </c>
      <c r="V61" s="477">
        <f>O65</f>
        <v>10500</v>
      </c>
      <c r="W61" s="56"/>
      <c r="X61" s="54" t="s">
        <v>218</v>
      </c>
    </row>
    <row r="62" spans="1:24" ht="15" customHeight="1" outlineLevel="1" x14ac:dyDescent="0.25">
      <c r="A62" s="383"/>
      <c r="B62" s="618"/>
      <c r="C62" s="64"/>
      <c r="D62" s="437"/>
      <c r="E62" s="620"/>
      <c r="F62" s="76"/>
      <c r="G62" s="66"/>
      <c r="H62" s="67" t="s">
        <v>77</v>
      </c>
      <c r="I62" s="66"/>
      <c r="J62" s="67" t="s">
        <v>67</v>
      </c>
      <c r="K62" s="66"/>
      <c r="L62" s="67" t="s">
        <v>41</v>
      </c>
      <c r="M62" s="66"/>
      <c r="N62" s="67" t="s">
        <v>37</v>
      </c>
      <c r="P62" s="77"/>
      <c r="Q62" s="78"/>
      <c r="R62" s="61"/>
      <c r="S62" s="65"/>
      <c r="T62" s="477"/>
      <c r="U62" s="477"/>
      <c r="V62" s="477"/>
      <c r="W62" s="64"/>
      <c r="X62" s="54"/>
    </row>
    <row r="63" spans="1:24" ht="18.75" customHeight="1" x14ac:dyDescent="0.25">
      <c r="A63" s="383"/>
      <c r="B63" s="618"/>
      <c r="C63" s="64"/>
      <c r="D63" s="437"/>
      <c r="E63" s="620"/>
      <c r="F63" s="68" t="s">
        <v>150</v>
      </c>
      <c r="G63" s="66">
        <v>1</v>
      </c>
      <c r="H63" s="65" t="s">
        <v>195</v>
      </c>
      <c r="I63" s="69">
        <v>1</v>
      </c>
      <c r="J63" s="67" t="s">
        <v>25</v>
      </c>
      <c r="K63" s="66">
        <v>9666.6669999999995</v>
      </c>
      <c r="L63" s="67" t="s">
        <v>41</v>
      </c>
      <c r="M63" s="66">
        <f>ROUND((G63*I63*K63),2)</f>
        <v>9666.67</v>
      </c>
      <c r="N63" s="71" t="s">
        <v>37</v>
      </c>
      <c r="O63" s="70">
        <f>ROUNDUP((M63),-2)</f>
        <v>9700</v>
      </c>
      <c r="P63" s="71" t="s">
        <v>37</v>
      </c>
      <c r="Q63" s="72"/>
      <c r="R63" s="72"/>
      <c r="S63" s="65"/>
      <c r="T63" s="477"/>
      <c r="U63" s="477"/>
      <c r="V63" s="477"/>
      <c r="W63" s="64"/>
      <c r="X63" s="54" t="str">
        <f>""&amp;TEXT(G63,"0,0")&amp;" ед. х "&amp;TEXT(I63,"0,0")&amp;" раз. х  "&amp;TEXT((K63),"000,00")&amp;" руб. = "&amp;TEXT((M63),"0 000,00")&amp;" руб. = "&amp;TEXT(O63,"0 000,00")&amp;" руб."</f>
        <v>1,0 ед. х 1,0 раз. х  9666,67 руб. = 9 666,67 руб. = 9 700,00 руб.</v>
      </c>
    </row>
    <row r="64" spans="1:24" ht="18.75" customHeight="1" x14ac:dyDescent="0.25">
      <c r="A64" s="383"/>
      <c r="B64" s="618"/>
      <c r="C64" s="64"/>
      <c r="D64" s="437"/>
      <c r="E64" s="620"/>
      <c r="F64" s="68" t="s">
        <v>151</v>
      </c>
      <c r="G64" s="66">
        <v>1</v>
      </c>
      <c r="H64" s="65" t="s">
        <v>195</v>
      </c>
      <c r="I64" s="69">
        <v>1</v>
      </c>
      <c r="J64" s="67" t="s">
        <v>25</v>
      </c>
      <c r="K64" s="69">
        <f>K63*1.0408</f>
        <v>10061.067013599999</v>
      </c>
      <c r="L64" s="67" t="s">
        <v>41</v>
      </c>
      <c r="M64" s="66">
        <f>ROUND((G64*I64*K64),2)</f>
        <v>10061.07</v>
      </c>
      <c r="N64" s="71" t="s">
        <v>37</v>
      </c>
      <c r="O64" s="70">
        <f>ROUNDUP((M64),-2)</f>
        <v>10100</v>
      </c>
      <c r="P64" s="71" t="s">
        <v>37</v>
      </c>
      <c r="Q64" s="72"/>
      <c r="R64" s="72"/>
      <c r="S64" s="65"/>
      <c r="T64" s="477"/>
      <c r="U64" s="477"/>
      <c r="V64" s="477"/>
      <c r="W64" s="64"/>
      <c r="X64" s="54" t="str">
        <f>""&amp;TEXT(G64,"0,0")&amp;" ед. х "&amp;TEXT(I64,"0,0")&amp;" раз. х  "&amp;TEXT((K64),"000,00")&amp;" руб. = "&amp;TEXT((M64),"0 000,00")&amp;" руб. = "&amp;TEXT(O64,"0 000,00")&amp;" руб."</f>
        <v>1,0 ед. х 1,0 раз. х  10061,07 руб. = 10 061,07 руб. = 10 100,00 руб.</v>
      </c>
    </row>
    <row r="65" spans="1:25" ht="18.75" customHeight="1" x14ac:dyDescent="0.25">
      <c r="A65" s="383"/>
      <c r="B65" s="618"/>
      <c r="C65" s="64"/>
      <c r="D65" s="437"/>
      <c r="E65" s="620"/>
      <c r="F65" s="68" t="s">
        <v>193</v>
      </c>
      <c r="G65" s="66">
        <v>1</v>
      </c>
      <c r="H65" s="65" t="s">
        <v>195</v>
      </c>
      <c r="I65" s="69">
        <v>1</v>
      </c>
      <c r="J65" s="67" t="s">
        <v>25</v>
      </c>
      <c r="K65" s="69">
        <f>K64*1.0408</f>
        <v>10471.558547754878</v>
      </c>
      <c r="L65" s="67" t="s">
        <v>41</v>
      </c>
      <c r="M65" s="66">
        <f>ROUND((G65*I65*K65),2)</f>
        <v>10471.56</v>
      </c>
      <c r="N65" s="71" t="s">
        <v>37</v>
      </c>
      <c r="O65" s="70">
        <f>ROUNDUP((M65),-2)</f>
        <v>10500</v>
      </c>
      <c r="P65" s="71" t="s">
        <v>37</v>
      </c>
      <c r="Q65" s="70"/>
      <c r="R65" s="71"/>
      <c r="S65" s="65"/>
      <c r="T65" s="478"/>
      <c r="U65" s="478"/>
      <c r="V65" s="478"/>
      <c r="W65" s="64"/>
      <c r="X65" s="54" t="str">
        <f>""&amp;TEXT(G65,"0,0")&amp;" ед. х "&amp;TEXT(I65,"0,0")&amp;" раз. х  "&amp;TEXT((K65),"000,00")&amp;" руб. = "&amp;TEXT((M65),"0 000,00")&amp;" руб. = "&amp;TEXT(O65,"0 000,00")&amp;" руб."</f>
        <v>1,0 ед. х 1,0 раз. х  10471,56 руб. = 10 471,56 руб. = 10 500,00 руб.</v>
      </c>
    </row>
    <row r="66" spans="1:25" ht="84.75" customHeight="1" x14ac:dyDescent="0.25">
      <c r="A66" s="51" t="s">
        <v>129</v>
      </c>
      <c r="B66" s="116" t="s">
        <v>110</v>
      </c>
      <c r="C66" s="52"/>
      <c r="D66" s="53" t="s">
        <v>35</v>
      </c>
      <c r="E66" s="53" t="s">
        <v>35</v>
      </c>
      <c r="F66" s="423"/>
      <c r="G66" s="424"/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110">
        <f>SUM(T67)</f>
        <v>33600</v>
      </c>
      <c r="U66" s="110">
        <f>SUM(U67)</f>
        <v>35000</v>
      </c>
      <c r="V66" s="110">
        <f>SUM(V67)</f>
        <v>36400</v>
      </c>
      <c r="W66" s="52"/>
      <c r="X66" s="54" t="str">
        <f>"Нормативные "&amp;TEXT(B66,"0")&amp;" включают в себя:
нормативные "&amp;TEXT(B67,"0")&amp;""</f>
        <v>Нормативные затраты по техническому обслуживанию и регламентно-профилактический ремонту комплексных систем обеспечения безопасности включают в себя:
нормативные затраты по техническому обслуживанию охранно-тревожной сигнализации</v>
      </c>
    </row>
    <row r="67" spans="1:25" ht="134.25" customHeight="1" x14ac:dyDescent="0.25">
      <c r="A67" s="383" t="s">
        <v>221</v>
      </c>
      <c r="B67" s="617" t="s">
        <v>111</v>
      </c>
      <c r="C67" s="64"/>
      <c r="D67" s="619">
        <v>225</v>
      </c>
      <c r="E67" s="619">
        <v>244</v>
      </c>
      <c r="F67" s="380" t="s">
        <v>186</v>
      </c>
      <c r="G67" s="380"/>
      <c r="H67" s="380"/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65"/>
      <c r="T67" s="477">
        <f>O69</f>
        <v>33600</v>
      </c>
      <c r="U67" s="477">
        <f>O70</f>
        <v>35000</v>
      </c>
      <c r="V67" s="477">
        <f>Q71</f>
        <v>36400</v>
      </c>
      <c r="W67" s="64"/>
      <c r="X67" s="54" t="s">
        <v>176</v>
      </c>
    </row>
    <row r="68" spans="1:25" ht="19.5" customHeight="1" outlineLevel="1" x14ac:dyDescent="0.25">
      <c r="A68" s="383"/>
      <c r="B68" s="618"/>
      <c r="C68" s="64"/>
      <c r="D68" s="437"/>
      <c r="E68" s="620"/>
      <c r="F68" s="61"/>
      <c r="G68" s="66"/>
      <c r="H68" s="67" t="s">
        <v>70</v>
      </c>
      <c r="I68" s="66"/>
      <c r="J68" s="67" t="s">
        <v>73</v>
      </c>
      <c r="K68" s="66">
        <v>2695</v>
      </c>
      <c r="L68" s="67" t="s">
        <v>41</v>
      </c>
      <c r="M68" s="66">
        <f>ROUND((G68*I68*K68),2)</f>
        <v>0</v>
      </c>
      <c r="N68" s="67" t="s">
        <v>37</v>
      </c>
      <c r="O68" s="67"/>
      <c r="P68" s="67"/>
      <c r="Q68" s="67"/>
      <c r="R68" s="65"/>
      <c r="S68" s="65"/>
      <c r="T68" s="477"/>
      <c r="U68" s="477"/>
      <c r="V68" s="477"/>
      <c r="W68" s="64"/>
      <c r="X68" s="54"/>
    </row>
    <row r="69" spans="1:25" ht="21" customHeight="1" x14ac:dyDescent="0.25">
      <c r="A69" s="383"/>
      <c r="B69" s="618"/>
      <c r="C69" s="64"/>
      <c r="D69" s="437"/>
      <c r="E69" s="620"/>
      <c r="F69" s="68" t="s">
        <v>150</v>
      </c>
      <c r="G69" s="66">
        <v>1</v>
      </c>
      <c r="H69" s="65" t="s">
        <v>137</v>
      </c>
      <c r="I69" s="69">
        <v>12</v>
      </c>
      <c r="J69" s="67" t="s">
        <v>25</v>
      </c>
      <c r="K69" s="66">
        <v>2799.84</v>
      </c>
      <c r="L69" s="67" t="s">
        <v>41</v>
      </c>
      <c r="M69" s="66">
        <f>ROUND((G69*I69*K69),2)</f>
        <v>33598.080000000002</v>
      </c>
      <c r="N69" s="71" t="s">
        <v>37</v>
      </c>
      <c r="O69" s="70">
        <f>ROUNDUP((M69),-2)</f>
        <v>33600</v>
      </c>
      <c r="P69" s="72"/>
      <c r="Q69" s="72"/>
      <c r="R69" s="72"/>
      <c r="S69" s="65"/>
      <c r="T69" s="477"/>
      <c r="U69" s="477"/>
      <c r="V69" s="477"/>
      <c r="W69" s="64"/>
      <c r="X69" s="54" t="str">
        <f>""&amp;TEXT(G69,"0,0")&amp;" шт. х "&amp;TEXT(I69,"0,0")&amp;" мес. х "&amp;TEXT(ROUND((K69),2),"0 000,00")&amp;" руб. = "&amp;TEXT(ROUND(((M69)),2),"0 000,00")&amp;" руб. = "&amp;TEXT(O69,"0 000,00")&amp;" руб."</f>
        <v>1,0 шт. х 12,0 мес. х 2 799,84 руб. = 33 598,08 руб. = 33 600,00 руб.</v>
      </c>
    </row>
    <row r="70" spans="1:25" ht="21" customHeight="1" x14ac:dyDescent="0.25">
      <c r="A70" s="383"/>
      <c r="B70" s="618"/>
      <c r="C70" s="64"/>
      <c r="D70" s="437"/>
      <c r="E70" s="620"/>
      <c r="F70" s="68" t="s">
        <v>151</v>
      </c>
      <c r="G70" s="66">
        <v>1</v>
      </c>
      <c r="H70" s="67" t="str">
        <f>H69</f>
        <v>руб. х индекс потребительских цен 2020 года</v>
      </c>
      <c r="I70" s="69">
        <f>$I$69</f>
        <v>12</v>
      </c>
      <c r="J70" s="67" t="s">
        <v>25</v>
      </c>
      <c r="K70" s="69">
        <v>2914.07</v>
      </c>
      <c r="L70" s="67" t="s">
        <v>41</v>
      </c>
      <c r="M70" s="66">
        <f>ROUND((G70*I70*K70),2)</f>
        <v>34968.839999999997</v>
      </c>
      <c r="N70" s="67" t="s">
        <v>41</v>
      </c>
      <c r="O70" s="70">
        <f>ROUNDUP((M70),-2)</f>
        <v>35000</v>
      </c>
      <c r="P70" s="71" t="s">
        <v>37</v>
      </c>
      <c r="Q70" s="72"/>
      <c r="R70" s="72"/>
      <c r="S70" s="65"/>
      <c r="T70" s="477"/>
      <c r="U70" s="477"/>
      <c r="V70" s="477"/>
      <c r="W70" s="64"/>
      <c r="X70" s="54" t="str">
        <f>""&amp;TEXT(G70,"0,0")&amp;" шт. х "&amp;TEXT(I70,"0,0")&amp;" мес. х "&amp;TEXT(ROUND((K70),2),"0 000,00")&amp;" руб. = "&amp;TEXT(ROUND(((M70)),2),"0 000,00")&amp;" руб. = "&amp;TEXT(O70,"0 000,00")&amp;" руб."</f>
        <v>1,0 шт. х 12,0 мес. х 2 914,07 руб. = 34 968,84 руб. = 35 000,00 руб.</v>
      </c>
    </row>
    <row r="71" spans="1:25" ht="21" customHeight="1" x14ac:dyDescent="0.25">
      <c r="A71" s="383"/>
      <c r="B71" s="618"/>
      <c r="C71" s="64"/>
      <c r="D71" s="437"/>
      <c r="E71" s="620"/>
      <c r="F71" s="68" t="s">
        <v>193</v>
      </c>
      <c r="G71" s="66">
        <f>G70</f>
        <v>1</v>
      </c>
      <c r="H71" s="67" t="str">
        <f>H69</f>
        <v>руб. х индекс потребительских цен 2020 года</v>
      </c>
      <c r="I71" s="69">
        <f>$I$69</f>
        <v>12</v>
      </c>
      <c r="J71" s="67" t="s">
        <v>25</v>
      </c>
      <c r="K71" s="69">
        <f>K70*1.0408</f>
        <v>3032.9640559999998</v>
      </c>
      <c r="L71" s="67" t="s">
        <v>41</v>
      </c>
      <c r="M71" s="66">
        <f>ROUND((G71*I71*K71),2)</f>
        <v>36395.57</v>
      </c>
      <c r="N71" s="67" t="s">
        <v>25</v>
      </c>
      <c r="O71" s="70">
        <f>ROUNDUP((M71),-2)</f>
        <v>36400</v>
      </c>
      <c r="P71" s="67" t="s">
        <v>41</v>
      </c>
      <c r="Q71" s="70">
        <f>ROUNDUP((O71),-2)</f>
        <v>36400</v>
      </c>
      <c r="R71" s="71" t="s">
        <v>37</v>
      </c>
      <c r="S71" s="65"/>
      <c r="T71" s="478"/>
      <c r="U71" s="478"/>
      <c r="V71" s="478"/>
      <c r="W71" s="64"/>
      <c r="X71" s="54" t="str">
        <f>""&amp;TEXT(G71,"0,0")&amp;" шт. х "&amp;TEXT(I71,"0,0")&amp;" мес. х "&amp;TEXT(ROUND((K71),2),"0 000,00")&amp;" руб. = "&amp;TEXT(ROUND(((M71)),2),"0 000,00")&amp;" руб. = "&amp;TEXT(O71,"0 000,00")&amp;" руб."</f>
        <v>1,0 шт. х 12,0 мес. х 3 032,96 руб. = 36 395,57 руб. = 36 400,00 руб.</v>
      </c>
    </row>
    <row r="72" spans="1:25" ht="134.25" customHeight="1" x14ac:dyDescent="0.25">
      <c r="A72" s="383" t="s">
        <v>222</v>
      </c>
      <c r="B72" s="617" t="s">
        <v>116</v>
      </c>
      <c r="C72" s="64"/>
      <c r="D72" s="619">
        <v>225</v>
      </c>
      <c r="E72" s="619">
        <v>244</v>
      </c>
      <c r="F72" s="380" t="s">
        <v>182</v>
      </c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0"/>
      <c r="R72" s="380"/>
      <c r="S72" s="65"/>
      <c r="T72" s="477">
        <f>O74</f>
        <v>5700</v>
      </c>
      <c r="U72" s="477">
        <f>O75</f>
        <v>6000</v>
      </c>
      <c r="V72" s="477">
        <f>Q76</f>
        <v>6200</v>
      </c>
      <c r="W72" s="64"/>
      <c r="X72" s="54" t="s">
        <v>85</v>
      </c>
    </row>
    <row r="73" spans="1:25" ht="21.75" customHeight="1" outlineLevel="1" x14ac:dyDescent="0.25">
      <c r="A73" s="383"/>
      <c r="B73" s="618"/>
      <c r="C73" s="64"/>
      <c r="D73" s="437"/>
      <c r="E73" s="620"/>
      <c r="F73" s="61"/>
      <c r="G73" s="66"/>
      <c r="H73" s="67" t="s">
        <v>77</v>
      </c>
      <c r="I73" s="66">
        <v>4</v>
      </c>
      <c r="J73" s="67" t="s">
        <v>67</v>
      </c>
      <c r="K73" s="66"/>
      <c r="L73" s="67" t="s">
        <v>41</v>
      </c>
      <c r="M73" s="66">
        <f>ROUND((G73*I73*K73),2)</f>
        <v>0</v>
      </c>
      <c r="N73" s="67" t="s">
        <v>37</v>
      </c>
      <c r="O73" s="67"/>
      <c r="P73" s="67"/>
      <c r="Q73" s="67"/>
      <c r="R73" s="65"/>
      <c r="S73" s="65"/>
      <c r="T73" s="477"/>
      <c r="U73" s="477"/>
      <c r="V73" s="477"/>
      <c r="W73" s="64"/>
      <c r="X73" s="54"/>
    </row>
    <row r="74" spans="1:25" ht="22.5" customHeight="1" x14ac:dyDescent="0.25">
      <c r="A74" s="383"/>
      <c r="B74" s="618"/>
      <c r="C74" s="64"/>
      <c r="D74" s="437"/>
      <c r="E74" s="620"/>
      <c r="F74" s="68" t="s">
        <v>150</v>
      </c>
      <c r="G74" s="66">
        <v>1</v>
      </c>
      <c r="H74" s="65" t="s">
        <v>195</v>
      </c>
      <c r="I74" s="69">
        <v>4</v>
      </c>
      <c r="J74" s="67" t="s">
        <v>25</v>
      </c>
      <c r="K74" s="66">
        <v>1422.19</v>
      </c>
      <c r="L74" s="67" t="s">
        <v>41</v>
      </c>
      <c r="M74" s="70">
        <f>K74*I74*G74</f>
        <v>5688.76</v>
      </c>
      <c r="N74" s="71" t="s">
        <v>37</v>
      </c>
      <c r="O74" s="70">
        <f>ROUNDUP((M74),-2)</f>
        <v>5700</v>
      </c>
      <c r="P74" s="71" t="s">
        <v>37</v>
      </c>
      <c r="Q74" s="70">
        <f t="shared" ref="Q74:Q75" si="14">ROUNDUP((O74),-2)</f>
        <v>5700</v>
      </c>
      <c r="R74" s="71" t="s">
        <v>37</v>
      </c>
      <c r="S74" s="65"/>
      <c r="T74" s="477"/>
      <c r="U74" s="477"/>
      <c r="V74" s="477"/>
      <c r="W74" s="64"/>
      <c r="X74" s="54" t="str">
        <f>""&amp;TEXT(G74,"0,0")&amp;" шт. х "&amp;TEXT(I74,"0,0")&amp;" раза х "&amp;TEXT(ROUND((K74),2),"0 000,00")&amp;" руб. = "&amp;TEXT(ROUND(((M74)),2),"0 000,00")&amp;" руб. = "&amp;TEXT(O74,"0 000,00")&amp;" руб."</f>
        <v>1,0 шт. х 4,0 раза х 1 422,19 руб. = 5 688,76 руб. = 5 700,00 руб.</v>
      </c>
    </row>
    <row r="75" spans="1:25" ht="21.75" customHeight="1" x14ac:dyDescent="0.25">
      <c r="A75" s="383"/>
      <c r="B75" s="618"/>
      <c r="C75" s="64"/>
      <c r="D75" s="437"/>
      <c r="E75" s="620"/>
      <c r="F75" s="68" t="s">
        <v>151</v>
      </c>
      <c r="G75" s="66">
        <v>1</v>
      </c>
      <c r="H75" s="67" t="str">
        <f>H74</f>
        <v xml:space="preserve">руб. х индекс потребительских цен </v>
      </c>
      <c r="I75" s="69">
        <v>4</v>
      </c>
      <c r="J75" s="67" t="s">
        <v>25</v>
      </c>
      <c r="K75" s="69">
        <v>1480.22</v>
      </c>
      <c r="L75" s="67" t="s">
        <v>41</v>
      </c>
      <c r="M75" s="70">
        <f t="shared" ref="M75:M76" si="15">K75*I75*G75</f>
        <v>5920.88</v>
      </c>
      <c r="N75" s="71" t="s">
        <v>37</v>
      </c>
      <c r="O75" s="70">
        <f>ROUNDUP((M75),-2)</f>
        <v>6000</v>
      </c>
      <c r="P75" s="71" t="s">
        <v>37</v>
      </c>
      <c r="Q75" s="70">
        <f t="shared" si="14"/>
        <v>6000</v>
      </c>
      <c r="R75" s="71" t="s">
        <v>37</v>
      </c>
      <c r="S75" s="65"/>
      <c r="T75" s="477"/>
      <c r="U75" s="477"/>
      <c r="V75" s="477"/>
      <c r="W75" s="64"/>
      <c r="X75" s="54" t="str">
        <f t="shared" ref="X75:X76" si="16">""&amp;TEXT(G75,"0,0")&amp;" шт. х "&amp;TEXT(I75,"0,0")&amp;" раза х "&amp;TEXT(ROUND((K75),2),"0 000,00")&amp;" руб. = "&amp;TEXT(ROUND(((M75)),2),"0 000,00")&amp;" руб. = "&amp;TEXT(O75,"0 000,00")&amp;" руб."</f>
        <v>1,0 шт. х 4,0 раза х 1 480,22 руб. = 5 920,88 руб. = 6 000,00 руб.</v>
      </c>
    </row>
    <row r="76" spans="1:25" ht="18.75" customHeight="1" x14ac:dyDescent="0.25">
      <c r="A76" s="383"/>
      <c r="B76" s="618"/>
      <c r="C76" s="64"/>
      <c r="D76" s="437"/>
      <c r="E76" s="620"/>
      <c r="F76" s="68" t="s">
        <v>193</v>
      </c>
      <c r="G76" s="66">
        <v>1</v>
      </c>
      <c r="H76" s="67" t="str">
        <f>H74</f>
        <v xml:space="preserve">руб. х индекс потребительских цен </v>
      </c>
      <c r="I76" s="69">
        <v>4</v>
      </c>
      <c r="J76" s="67" t="s">
        <v>25</v>
      </c>
      <c r="K76" s="69">
        <f>K75*1.0408</f>
        <v>1540.6129759999999</v>
      </c>
      <c r="L76" s="67" t="s">
        <v>41</v>
      </c>
      <c r="M76" s="70">
        <f t="shared" si="15"/>
        <v>6162.4519039999996</v>
      </c>
      <c r="N76" s="71" t="s">
        <v>37</v>
      </c>
      <c r="O76" s="70">
        <f>ROUNDUP((M76),-2)</f>
        <v>6200</v>
      </c>
      <c r="P76" s="71" t="s">
        <v>37</v>
      </c>
      <c r="Q76" s="70">
        <f>ROUNDUP((O76),-2)</f>
        <v>6200</v>
      </c>
      <c r="R76" s="71" t="s">
        <v>37</v>
      </c>
      <c r="S76" s="65"/>
      <c r="T76" s="478"/>
      <c r="U76" s="478"/>
      <c r="V76" s="478"/>
      <c r="W76" s="64"/>
      <c r="X76" s="54" t="str">
        <f t="shared" si="16"/>
        <v>1,0 шт. х 4,0 раза х 1 540,61 руб. = 6 162,45 руб. = 6 200,00 руб.</v>
      </c>
    </row>
    <row r="77" spans="1:25" ht="84.75" customHeight="1" x14ac:dyDescent="0.25">
      <c r="A77" s="74" t="s">
        <v>203</v>
      </c>
      <c r="B77" s="118" t="s">
        <v>204</v>
      </c>
      <c r="C77" s="52"/>
      <c r="D77" s="79" t="s">
        <v>205</v>
      </c>
      <c r="E77" s="79" t="s">
        <v>206</v>
      </c>
      <c r="F77" s="423"/>
      <c r="G77" s="424"/>
      <c r="H77" s="424"/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109">
        <f>SUM(T78,T83,T89)</f>
        <v>60500</v>
      </c>
      <c r="U77" s="109">
        <f>SUM(U78,U83,U89)</f>
        <v>63000</v>
      </c>
      <c r="V77" s="109">
        <f>SUM(V78,V83,V89)</f>
        <v>65500</v>
      </c>
      <c r="W77" s="52"/>
      <c r="X77" s="54" t="str">
        <f>"Нормативные "&amp;TEXT(B77,"0")&amp;" включают в себя:
нормативные "&amp;TEXT(B78,"0")&amp;""</f>
        <v>Нормативные иные затраты на техническое обслуживание и содержание имущества включают в себя:
нормативные затраты по вывозу и утилизации отработанных картриджей</v>
      </c>
      <c r="Y77" s="80"/>
    </row>
    <row r="78" spans="1:25" s="75" customFormat="1" ht="119.25" customHeight="1" x14ac:dyDescent="0.25">
      <c r="A78" s="383" t="s">
        <v>207</v>
      </c>
      <c r="B78" s="617" t="s">
        <v>208</v>
      </c>
      <c r="C78" s="56"/>
      <c r="D78" s="619">
        <v>225</v>
      </c>
      <c r="E78" s="619">
        <v>244</v>
      </c>
      <c r="F78" s="380" t="s">
        <v>182</v>
      </c>
      <c r="G78" s="380"/>
      <c r="H78" s="380"/>
      <c r="I78" s="380"/>
      <c r="J78" s="380"/>
      <c r="K78" s="380"/>
      <c r="L78" s="380"/>
      <c r="M78" s="380"/>
      <c r="N78" s="380"/>
      <c r="O78" s="380"/>
      <c r="P78" s="380"/>
      <c r="Q78" s="380"/>
      <c r="R78" s="380"/>
      <c r="S78" s="66"/>
      <c r="T78" s="477">
        <f>O80</f>
        <v>60500</v>
      </c>
      <c r="U78" s="477">
        <f>O81</f>
        <v>63000</v>
      </c>
      <c r="V78" s="477">
        <f>Q82</f>
        <v>65500</v>
      </c>
      <c r="W78" s="56"/>
      <c r="X78" s="54" t="s">
        <v>209</v>
      </c>
    </row>
    <row r="79" spans="1:25" ht="15" customHeight="1" outlineLevel="1" x14ac:dyDescent="0.25">
      <c r="A79" s="383"/>
      <c r="B79" s="618"/>
      <c r="C79" s="64"/>
      <c r="D79" s="437"/>
      <c r="E79" s="620"/>
      <c r="F79" s="76"/>
      <c r="G79" s="66"/>
      <c r="H79" s="67" t="s">
        <v>77</v>
      </c>
      <c r="I79" s="66"/>
      <c r="J79" s="67" t="s">
        <v>67</v>
      </c>
      <c r="K79" s="66"/>
      <c r="L79" s="67" t="s">
        <v>41</v>
      </c>
      <c r="M79" s="66"/>
      <c r="N79" s="67" t="s">
        <v>37</v>
      </c>
      <c r="P79" s="77"/>
      <c r="Q79" s="78"/>
      <c r="R79" s="61"/>
      <c r="S79" s="65"/>
      <c r="T79" s="477"/>
      <c r="U79" s="477"/>
      <c r="V79" s="477"/>
      <c r="W79" s="64"/>
      <c r="X79" s="54"/>
    </row>
    <row r="80" spans="1:25" ht="18" customHeight="1" x14ac:dyDescent="0.25">
      <c r="A80" s="383"/>
      <c r="B80" s="618"/>
      <c r="C80" s="64"/>
      <c r="D80" s="437"/>
      <c r="E80" s="620"/>
      <c r="F80" s="68" t="s">
        <v>150</v>
      </c>
      <c r="G80" s="66">
        <v>1</v>
      </c>
      <c r="H80" s="67" t="s">
        <v>77</v>
      </c>
      <c r="I80" s="69">
        <v>1</v>
      </c>
      <c r="J80" s="67" t="s">
        <v>25</v>
      </c>
      <c r="K80" s="66">
        <v>60450</v>
      </c>
      <c r="L80" s="67" t="s">
        <v>41</v>
      </c>
      <c r="M80" s="66">
        <f>ROUND((G80*I80*K80),2)</f>
        <v>60450</v>
      </c>
      <c r="N80" s="67" t="s">
        <v>37</v>
      </c>
      <c r="O80" s="70">
        <f>ROUNDUP((M80),-2)</f>
        <v>60500</v>
      </c>
      <c r="P80" s="71" t="s">
        <v>37</v>
      </c>
      <c r="Q80" s="72"/>
      <c r="R80" s="61"/>
      <c r="S80" s="72"/>
      <c r="T80" s="477"/>
      <c r="U80" s="477"/>
      <c r="V80" s="477"/>
      <c r="W80" s="64"/>
      <c r="X80" s="54" t="str">
        <f>""&amp;TEXT($G$51,"0,0")&amp;" шт. х "&amp;TEXT($I$51,"0,0")&amp;" раз х "&amp;TEXT(ROUND((K80),2),"000,00")&amp;" руб. = "&amp;TEXT(ROUND((M80),2),"000,00")&amp;" руб. = "&amp;TEXT(O80,"0 000,00")&amp;" руб."</f>
        <v>1,0 шт. х 1,0 раз х 60450,00 руб. = 60450,00 руб. = 60 500,00 руб.</v>
      </c>
    </row>
    <row r="81" spans="1:24" ht="19.5" customHeight="1" x14ac:dyDescent="0.25">
      <c r="A81" s="383"/>
      <c r="B81" s="618"/>
      <c r="C81" s="64"/>
      <c r="D81" s="437"/>
      <c r="E81" s="620"/>
      <c r="F81" s="68" t="s">
        <v>151</v>
      </c>
      <c r="G81" s="66">
        <v>1</v>
      </c>
      <c r="H81" s="67" t="s">
        <v>77</v>
      </c>
      <c r="I81" s="69">
        <v>1</v>
      </c>
      <c r="J81" s="67" t="s">
        <v>25</v>
      </c>
      <c r="K81" s="69">
        <f>K80*1.0408</f>
        <v>62916.359999999993</v>
      </c>
      <c r="L81" s="67" t="s">
        <v>41</v>
      </c>
      <c r="M81" s="66">
        <f t="shared" ref="M81:M82" si="17">ROUND((G81*I81*K81),2)</f>
        <v>62916.36</v>
      </c>
      <c r="N81" s="67" t="s">
        <v>37</v>
      </c>
      <c r="O81" s="70">
        <f>ROUNDUP((M81),-2)</f>
        <v>63000</v>
      </c>
      <c r="P81" s="71" t="s">
        <v>37</v>
      </c>
      <c r="Q81" s="72"/>
      <c r="R81" s="61"/>
      <c r="S81" s="72"/>
      <c r="T81" s="477"/>
      <c r="U81" s="477"/>
      <c r="V81" s="477"/>
      <c r="W81" s="64"/>
      <c r="X81" s="54" t="str">
        <f>""&amp;TEXT($G$51,"0,0")&amp;" шт. х "&amp;TEXT($I$51,"0,0")&amp;" раз х "&amp;TEXT(ROUND((K81),2),"000,00")&amp;" руб. = "&amp;TEXT(ROUND((M81),2),"000,00")&amp;" руб. = "&amp;TEXT(O81,"0 000,00")&amp;" руб."</f>
        <v>1,0 шт. х 1,0 раз х 62916,36 руб. = 62916,36 руб. = 63 000,00 руб.</v>
      </c>
    </row>
    <row r="82" spans="1:24" ht="19.5" customHeight="1" x14ac:dyDescent="0.25">
      <c r="A82" s="383"/>
      <c r="B82" s="618"/>
      <c r="C82" s="64"/>
      <c r="D82" s="437"/>
      <c r="E82" s="620"/>
      <c r="F82" s="68" t="s">
        <v>193</v>
      </c>
      <c r="G82" s="66">
        <v>1</v>
      </c>
      <c r="H82" s="67" t="s">
        <v>77</v>
      </c>
      <c r="I82" s="69">
        <v>1</v>
      </c>
      <c r="J82" s="67" t="s">
        <v>25</v>
      </c>
      <c r="K82" s="69">
        <f>K81*1.0408</f>
        <v>65483.347487999992</v>
      </c>
      <c r="L82" s="67" t="s">
        <v>41</v>
      </c>
      <c r="M82" s="66">
        <f t="shared" si="17"/>
        <v>65483.35</v>
      </c>
      <c r="N82" s="67" t="s">
        <v>37</v>
      </c>
      <c r="O82" s="70">
        <f>ROUNDUP((M82),-2)</f>
        <v>65500</v>
      </c>
      <c r="P82" s="71" t="s">
        <v>37</v>
      </c>
      <c r="Q82" s="70">
        <f>ROUNDUP((O82),-2)</f>
        <v>65500</v>
      </c>
      <c r="R82" s="61"/>
      <c r="S82" s="71"/>
      <c r="T82" s="478"/>
      <c r="U82" s="478"/>
      <c r="V82" s="478"/>
      <c r="W82" s="64"/>
      <c r="X82" s="54" t="str">
        <f>""&amp;TEXT($G$51,"0,0")&amp;" шт. х "&amp;TEXT($I$51,"0,0")&amp;" раз х "&amp;TEXT(ROUND((K82),2),"000,00")&amp;" руб. = "&amp;TEXT(ROUND((M82),2),"000,00")&amp;" руб. = "&amp;TEXT(O82,"0 000,00")&amp;" руб."</f>
        <v>1,0 шт. х 1,0 раз х 65483,35 руб. = 65483,35 руб. = 65 500,00 руб.</v>
      </c>
    </row>
    <row r="83" spans="1:24" hidden="1" x14ac:dyDescent="0.25">
      <c r="A83" s="81"/>
      <c r="B83" s="119"/>
      <c r="C83" s="82"/>
      <c r="D83" s="83"/>
      <c r="E83" s="84"/>
      <c r="F83" s="68"/>
      <c r="G83" s="66"/>
      <c r="H83" s="67"/>
      <c r="I83" s="69"/>
      <c r="J83" s="67"/>
      <c r="K83" s="69"/>
      <c r="L83" s="67"/>
      <c r="M83" s="70"/>
      <c r="N83" s="71"/>
      <c r="O83" s="70"/>
      <c r="P83" s="71"/>
      <c r="Q83" s="70"/>
      <c r="R83" s="71"/>
      <c r="S83" s="65"/>
      <c r="T83" s="111"/>
      <c r="U83" s="111"/>
      <c r="V83" s="111"/>
      <c r="W83" s="85"/>
      <c r="X83" s="86"/>
    </row>
    <row r="84" spans="1:24" hidden="1" x14ac:dyDescent="0.25">
      <c r="A84" s="81"/>
      <c r="B84" s="119"/>
      <c r="C84" s="82"/>
      <c r="D84" s="83"/>
      <c r="E84" s="84"/>
      <c r="F84" s="68"/>
      <c r="G84" s="66"/>
      <c r="H84" s="67"/>
      <c r="I84" s="69"/>
      <c r="J84" s="67"/>
      <c r="K84" s="69"/>
      <c r="L84" s="67"/>
      <c r="M84" s="70"/>
      <c r="N84" s="71"/>
      <c r="O84" s="70"/>
      <c r="P84" s="71"/>
      <c r="Q84" s="70"/>
      <c r="R84" s="71"/>
      <c r="S84" s="65"/>
      <c r="T84" s="111"/>
      <c r="U84" s="111"/>
      <c r="V84" s="111"/>
      <c r="W84" s="85"/>
      <c r="X84" s="86"/>
    </row>
    <row r="85" spans="1:24" ht="91.5" customHeight="1" x14ac:dyDescent="0.25">
      <c r="A85" s="630" t="s">
        <v>12</v>
      </c>
      <c r="B85" s="120" t="s">
        <v>109</v>
      </c>
      <c r="C85" s="88"/>
      <c r="D85" s="632" t="s">
        <v>35</v>
      </c>
      <c r="E85" s="632" t="s">
        <v>35</v>
      </c>
      <c r="F85" s="423"/>
      <c r="G85" s="424"/>
      <c r="H85" s="424"/>
      <c r="I85" s="424"/>
      <c r="J85" s="424"/>
      <c r="K85" s="424"/>
      <c r="L85" s="424"/>
      <c r="M85" s="424"/>
      <c r="N85" s="424"/>
      <c r="O85" s="424"/>
      <c r="P85" s="424"/>
      <c r="Q85" s="424"/>
      <c r="R85" s="424"/>
      <c r="S85" s="424"/>
      <c r="T85" s="633">
        <f>SUM(T87,T92,T103,T108)</f>
        <v>620000</v>
      </c>
      <c r="U85" s="633">
        <f>SUM(U87,U92,U103,U108)</f>
        <v>645600</v>
      </c>
      <c r="V85" s="633">
        <f>SUM(V87,V92,V103,V108)</f>
        <v>671600</v>
      </c>
      <c r="W85" s="90"/>
      <c r="X85" s="86" t="str">
        <f>"Нормативные "&amp;TEXT(B85,"0")&amp;""</f>
        <v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</v>
      </c>
    </row>
    <row r="86" spans="1:24" ht="95.25" customHeight="1" x14ac:dyDescent="0.25">
      <c r="A86" s="631"/>
      <c r="B86" s="121" t="s">
        <v>119</v>
      </c>
      <c r="C86" s="88"/>
      <c r="D86" s="437"/>
      <c r="E86" s="437"/>
      <c r="F86" s="424"/>
      <c r="G86" s="424"/>
      <c r="H86" s="424"/>
      <c r="I86" s="424"/>
      <c r="J86" s="424"/>
      <c r="K86" s="424"/>
      <c r="L86" s="424"/>
      <c r="M86" s="424"/>
      <c r="N86" s="424"/>
      <c r="O86" s="424"/>
      <c r="P86" s="424"/>
      <c r="Q86" s="424"/>
      <c r="R86" s="424"/>
      <c r="S86" s="424"/>
      <c r="T86" s="634"/>
      <c r="U86" s="634"/>
      <c r="V86" s="634"/>
      <c r="W86" s="90"/>
      <c r="X86" s="91" t="str">
        <f>""&amp;TEXT(B86,"0")&amp;" включают в себя:
нормативные "&amp;TEXT(B87,"0")&amp;";
нормативные "&amp;TEXT(B92,"0")&amp;";
нормативные "&amp;TEXT(B103,"0")&amp;";
нормативные "&amp;TEXT(B108,"0")&amp;""</f>
        <v>заключаемым со сторонними организациями, а также к затратам на коммунальные услуги, аренду помещений и оборудования, содержание имущества включают в себя:
нормативные затраты на оплату типографских работ и услуг, включая приобретение периодических печатных изданий;
нормативные затраты на проведение предрейсового и послерейсового осмотра водителей транспортных средств;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87" spans="1:24" ht="31.5" x14ac:dyDescent="0.25">
      <c r="A87" s="51" t="s">
        <v>13</v>
      </c>
      <c r="B87" s="122" t="s">
        <v>104</v>
      </c>
      <c r="C87" s="52"/>
      <c r="D87" s="53" t="s">
        <v>35</v>
      </c>
      <c r="E87" s="53" t="s">
        <v>35</v>
      </c>
      <c r="F87" s="423"/>
      <c r="G87" s="424"/>
      <c r="H87" s="424"/>
      <c r="I87" s="424"/>
      <c r="J87" s="424"/>
      <c r="K87" s="424"/>
      <c r="L87" s="424"/>
      <c r="M87" s="424"/>
      <c r="N87" s="424"/>
      <c r="O87" s="424"/>
      <c r="P87" s="424"/>
      <c r="Q87" s="424"/>
      <c r="R87" s="424"/>
      <c r="S87" s="424"/>
      <c r="T87" s="110">
        <f>SUM(T88)</f>
        <v>429500</v>
      </c>
      <c r="U87" s="110">
        <f>SUM(U88)</f>
        <v>447300</v>
      </c>
      <c r="V87" s="110">
        <f>SUM(V88)</f>
        <v>465200</v>
      </c>
      <c r="W87" s="52"/>
      <c r="X87" s="92" t="str">
        <f>"Нормативные "&amp;TEXT(B87,"0")&amp;" включают в себя:
нормативные "&amp;TEXT(B88,"0")&amp;""</f>
        <v>Нормативные затраты на оплату типографских работ и услуг, включая приобретение периодических печатных изданий включают в себя:
нормативные затраты на приобретение периодических печатных изданий</v>
      </c>
    </row>
    <row r="88" spans="1:24" ht="105.75" customHeight="1" x14ac:dyDescent="0.25">
      <c r="A88" s="383" t="s">
        <v>130</v>
      </c>
      <c r="B88" s="617" t="s">
        <v>103</v>
      </c>
      <c r="C88" s="64"/>
      <c r="D88" s="619">
        <v>226</v>
      </c>
      <c r="E88" s="619">
        <v>244</v>
      </c>
      <c r="F88" s="380" t="s">
        <v>52</v>
      </c>
      <c r="G88" s="380"/>
      <c r="H88" s="380"/>
      <c r="I88" s="380"/>
      <c r="J88" s="380"/>
      <c r="K88" s="380"/>
      <c r="L88" s="380"/>
      <c r="M88" s="380"/>
      <c r="N88" s="380"/>
      <c r="O88" s="380"/>
      <c r="P88" s="380"/>
      <c r="Q88" s="380"/>
      <c r="R88" s="380"/>
      <c r="S88" s="65"/>
      <c r="T88" s="477">
        <f>O89</f>
        <v>429500</v>
      </c>
      <c r="U88" s="477">
        <f>O90</f>
        <v>447300</v>
      </c>
      <c r="V88" s="477">
        <f>O91</f>
        <v>465200</v>
      </c>
      <c r="W88" s="64"/>
      <c r="X88" s="54" t="s">
        <v>51</v>
      </c>
    </row>
    <row r="89" spans="1:24" ht="21.75" customHeight="1" x14ac:dyDescent="0.25">
      <c r="A89" s="383"/>
      <c r="B89" s="618"/>
      <c r="C89" s="64"/>
      <c r="D89" s="437"/>
      <c r="E89" s="437"/>
      <c r="F89" s="68" t="s">
        <v>150</v>
      </c>
      <c r="G89" s="66">
        <v>213</v>
      </c>
      <c r="H89" s="67" t="s">
        <v>48</v>
      </c>
      <c r="I89" s="66">
        <v>168</v>
      </c>
      <c r="J89" s="67" t="s">
        <v>49</v>
      </c>
      <c r="K89" s="66">
        <v>12</v>
      </c>
      <c r="L89" s="67" t="s">
        <v>50</v>
      </c>
      <c r="M89" s="66">
        <f>ROUND((G89*I89*K89),2)</f>
        <v>429408</v>
      </c>
      <c r="N89" s="67" t="s">
        <v>41</v>
      </c>
      <c r="O89" s="70">
        <f>ROUNDUP((M89),-2)</f>
        <v>429500</v>
      </c>
      <c r="P89" s="71" t="s">
        <v>37</v>
      </c>
      <c r="Q89" s="67"/>
      <c r="R89" s="65"/>
      <c r="S89" s="65"/>
      <c r="T89" s="477"/>
      <c r="U89" s="477"/>
      <c r="V89" s="477"/>
      <c r="W89" s="64"/>
      <c r="X89" s="54" t="str">
        <f>""&amp;TEXT(G89,"000,00")&amp;" шт.ед. х норматив "&amp;TEXT(I89,"0,00")&amp;" руб. х "&amp;TEXT(K89,"00,0")&amp;" мес.  = "&amp;TEXT(M89,"0 000,00")&amp;" руб. = "&amp;TEXT(O89,"0 000,00")&amp;" руб."</f>
        <v>213,00 шт.ед. х норматив 168,00 руб. х 12,0 мес.  = 429 408,00 руб. = 429 500,00 руб.</v>
      </c>
    </row>
    <row r="90" spans="1:24" ht="20.25" customHeight="1" x14ac:dyDescent="0.25">
      <c r="A90" s="383"/>
      <c r="B90" s="618"/>
      <c r="C90" s="64"/>
      <c r="D90" s="437"/>
      <c r="E90" s="437"/>
      <c r="F90" s="68" t="s">
        <v>151</v>
      </c>
      <c r="G90" s="66">
        <v>213</v>
      </c>
      <c r="H90" s="67" t="s">
        <v>48</v>
      </c>
      <c r="I90" s="66">
        <v>175</v>
      </c>
      <c r="J90" s="67" t="s">
        <v>49</v>
      </c>
      <c r="K90" s="66">
        <v>12</v>
      </c>
      <c r="L90" s="67" t="s">
        <v>50</v>
      </c>
      <c r="M90" s="66">
        <f t="shared" ref="M90:M91" si="18">ROUND((G90*I90*K90),2)</f>
        <v>447300</v>
      </c>
      <c r="N90" s="67" t="s">
        <v>41</v>
      </c>
      <c r="O90" s="70">
        <f>ROUNDUP((M90),-2)</f>
        <v>447300</v>
      </c>
      <c r="P90" s="71" t="s">
        <v>37</v>
      </c>
      <c r="Q90" s="67"/>
      <c r="R90" s="65"/>
      <c r="S90" s="65"/>
      <c r="T90" s="477"/>
      <c r="U90" s="477"/>
      <c r="V90" s="477"/>
      <c r="W90" s="64"/>
      <c r="X90" s="54" t="str">
        <f t="shared" ref="X90:X91" si="19">""&amp;TEXT(G90,"000,00")&amp;" шт.ед. х норматив "&amp;TEXT(I90,"0,00")&amp;" руб. х "&amp;TEXT(K90,"00,0")&amp;" мес.  = "&amp;TEXT(M90,"0 000,00")&amp;" руб. = "&amp;TEXT(O90,"0 000,00")&amp;" руб."</f>
        <v>213,00 шт.ед. х норматив 175,00 руб. х 12,0 мес.  = 447 300,00 руб. = 447 300,00 руб.</v>
      </c>
    </row>
    <row r="91" spans="1:24" ht="22.5" customHeight="1" x14ac:dyDescent="0.25">
      <c r="A91" s="383"/>
      <c r="B91" s="618"/>
      <c r="C91" s="64"/>
      <c r="D91" s="437"/>
      <c r="E91" s="437"/>
      <c r="F91" s="68" t="s">
        <v>193</v>
      </c>
      <c r="G91" s="66">
        <v>213</v>
      </c>
      <c r="H91" s="67" t="s">
        <v>48</v>
      </c>
      <c r="I91" s="66">
        <v>182</v>
      </c>
      <c r="J91" s="67" t="s">
        <v>49</v>
      </c>
      <c r="K91" s="66">
        <v>12</v>
      </c>
      <c r="L91" s="67" t="s">
        <v>50</v>
      </c>
      <c r="M91" s="66">
        <f t="shared" si="18"/>
        <v>465192</v>
      </c>
      <c r="N91" s="67" t="s">
        <v>41</v>
      </c>
      <c r="O91" s="70">
        <f>ROUNDUP((M91),-2)</f>
        <v>465200</v>
      </c>
      <c r="P91" s="71" t="s">
        <v>37</v>
      </c>
      <c r="Q91" s="67"/>
      <c r="R91" s="65"/>
      <c r="S91" s="65"/>
      <c r="T91" s="477"/>
      <c r="U91" s="477"/>
      <c r="V91" s="477"/>
      <c r="W91" s="64"/>
      <c r="X91" s="54" t="str">
        <f t="shared" si="19"/>
        <v>213,00 шт.ед. х норматив 182,00 руб. х 12,0 мес.  = 465 192,00 руб. = 465 200,00 руб.</v>
      </c>
    </row>
    <row r="92" spans="1:24" ht="45" x14ac:dyDescent="0.25">
      <c r="A92" s="51" t="s">
        <v>30</v>
      </c>
      <c r="B92" s="116" t="s">
        <v>105</v>
      </c>
      <c r="C92" s="52"/>
      <c r="D92" s="53" t="s">
        <v>35</v>
      </c>
      <c r="E92" s="53" t="s">
        <v>35</v>
      </c>
      <c r="F92" s="380"/>
      <c r="G92" s="380"/>
      <c r="H92" s="380"/>
      <c r="I92" s="380"/>
      <c r="J92" s="380"/>
      <c r="K92" s="380"/>
      <c r="L92" s="380"/>
      <c r="M92" s="380"/>
      <c r="N92" s="380"/>
      <c r="O92" s="380"/>
      <c r="P92" s="380"/>
      <c r="Q92" s="380"/>
      <c r="R92" s="380"/>
      <c r="S92" s="57"/>
      <c r="T92" s="110">
        <f>SUM(T93,T98)</f>
        <v>29400</v>
      </c>
      <c r="U92" s="110">
        <f t="shared" ref="U92:V92" si="20">SUM(U93,U98)</f>
        <v>30600</v>
      </c>
      <c r="V92" s="110">
        <f t="shared" si="20"/>
        <v>31900</v>
      </c>
      <c r="W92" s="52"/>
      <c r="X92" s="54" t="str">
        <f>"Нормативные "&amp;TEXT(B92,"0")&amp;" включают в себя:
нормативные "&amp;TEXT(B93,"0")&amp;";
нормативные "&amp;TEXT(B98,"0")&amp;""</f>
        <v>Нормативные затраты на проведение предрейсового и послерейсового осмотра водителей транспортных средств включают в себя:
нормативные затраты на проведение периодического медицинского осмотра;
нормативные затраты на проведение предрейсового медицинского осмотра</v>
      </c>
    </row>
    <row r="93" spans="1:24" ht="124.5" customHeight="1" x14ac:dyDescent="0.25">
      <c r="A93" s="383" t="s">
        <v>125</v>
      </c>
      <c r="B93" s="617" t="s">
        <v>106</v>
      </c>
      <c r="C93" s="64"/>
      <c r="D93" s="619">
        <v>226</v>
      </c>
      <c r="E93" s="619">
        <v>244</v>
      </c>
      <c r="F93" s="380" t="s">
        <v>148</v>
      </c>
      <c r="G93" s="380"/>
      <c r="H93" s="380"/>
      <c r="I93" s="380"/>
      <c r="J93" s="380"/>
      <c r="K93" s="380"/>
      <c r="L93" s="380"/>
      <c r="M93" s="380"/>
      <c r="N93" s="380"/>
      <c r="O93" s="380"/>
      <c r="P93" s="380"/>
      <c r="Q93" s="380"/>
      <c r="R93" s="380"/>
      <c r="S93" s="65"/>
      <c r="T93" s="477">
        <f>O95</f>
        <v>2900</v>
      </c>
      <c r="U93" s="420">
        <f>O96</f>
        <v>3000</v>
      </c>
      <c r="V93" s="477">
        <f>O97</f>
        <v>3100</v>
      </c>
      <c r="W93" s="64"/>
      <c r="X93" s="54" t="s">
        <v>74</v>
      </c>
    </row>
    <row r="94" spans="1:24" ht="20.25" customHeight="1" outlineLevel="1" x14ac:dyDescent="0.25">
      <c r="A94" s="383"/>
      <c r="B94" s="618"/>
      <c r="C94" s="64"/>
      <c r="D94" s="437"/>
      <c r="E94" s="620"/>
      <c r="F94" s="61"/>
      <c r="G94" s="66"/>
      <c r="H94" s="67" t="s">
        <v>66</v>
      </c>
      <c r="I94" s="66">
        <v>1</v>
      </c>
      <c r="J94" s="67" t="s">
        <v>73</v>
      </c>
      <c r="K94" s="66">
        <v>2751.67</v>
      </c>
      <c r="L94" s="67" t="s">
        <v>41</v>
      </c>
      <c r="M94" s="66">
        <f>ROUND((G94*I94*K94),2)</f>
        <v>0</v>
      </c>
      <c r="N94" s="67" t="s">
        <v>37</v>
      </c>
      <c r="O94" s="67"/>
      <c r="P94" s="67"/>
      <c r="Q94" s="67"/>
      <c r="R94" s="65"/>
      <c r="S94" s="65"/>
      <c r="T94" s="477"/>
      <c r="U94" s="421"/>
      <c r="V94" s="477"/>
      <c r="W94" s="64"/>
    </row>
    <row r="95" spans="1:24" ht="15" x14ac:dyDescent="0.25">
      <c r="A95" s="383"/>
      <c r="B95" s="618"/>
      <c r="C95" s="64"/>
      <c r="D95" s="437"/>
      <c r="E95" s="620"/>
      <c r="F95" s="68" t="s">
        <v>150</v>
      </c>
      <c r="G95" s="66">
        <v>1</v>
      </c>
      <c r="H95" s="65" t="s">
        <v>195</v>
      </c>
      <c r="I95" s="69">
        <v>1</v>
      </c>
      <c r="J95" s="67" t="s">
        <v>25</v>
      </c>
      <c r="K95" s="66">
        <f>2751.67*1.0389</f>
        <v>2858.7099629999998</v>
      </c>
      <c r="L95" s="67" t="s">
        <v>41</v>
      </c>
      <c r="M95" s="70">
        <f>K95*I95*G95</f>
        <v>2858.7099629999998</v>
      </c>
      <c r="N95" s="71" t="s">
        <v>37</v>
      </c>
      <c r="O95" s="70">
        <f>ROUNDUP((M95),-2)</f>
        <v>2900</v>
      </c>
      <c r="P95" s="71" t="s">
        <v>37</v>
      </c>
      <c r="Q95" s="72"/>
      <c r="R95" s="71" t="s">
        <v>37</v>
      </c>
      <c r="S95" s="65"/>
      <c r="T95" s="477"/>
      <c r="U95" s="421"/>
      <c r="V95" s="477"/>
      <c r="W95" s="64"/>
      <c r="X95" s="54" t="str">
        <f>""&amp;TEXT(G95,"0,0")&amp;" чел. х "&amp;TEXT(I95,"0,0")&amp;" раз х "&amp;TEXT(ROUND((K95),2),"0 000,00")&amp;" руб. = "&amp;TEXT(ROUND((M95),2),"0 000,00")&amp;" руб. = "&amp;TEXT(O95,"0 000,00")&amp;" руб."</f>
        <v>1,0 чел. х 1,0 раз х 2 858,71 руб. = 2 858,71 руб. = 2 900,00 руб.</v>
      </c>
    </row>
    <row r="96" spans="1:24" ht="15" customHeight="1" outlineLevel="1" collapsed="1" x14ac:dyDescent="0.25">
      <c r="A96" s="383"/>
      <c r="B96" s="618"/>
      <c r="C96" s="64"/>
      <c r="D96" s="437"/>
      <c r="E96" s="620"/>
      <c r="F96" s="68" t="s">
        <v>151</v>
      </c>
      <c r="G96" s="66">
        <v>1</v>
      </c>
      <c r="H96" s="67" t="str">
        <f>H95</f>
        <v xml:space="preserve">руб. х индекс потребительских цен </v>
      </c>
      <c r="I96" s="69">
        <v>1</v>
      </c>
      <c r="J96" s="67" t="s">
        <v>25</v>
      </c>
      <c r="K96" s="69">
        <f>K95*1.0408</f>
        <v>2975.3453294903998</v>
      </c>
      <c r="L96" s="67" t="s">
        <v>41</v>
      </c>
      <c r="M96" s="70">
        <f t="shared" ref="M96:M97" si="21">K96*I96*G96</f>
        <v>2975.3453294903998</v>
      </c>
      <c r="N96" s="71" t="s">
        <v>37</v>
      </c>
      <c r="O96" s="70">
        <f>ROUNDUP((M96),-2)</f>
        <v>3000</v>
      </c>
      <c r="P96" s="71" t="s">
        <v>37</v>
      </c>
      <c r="Q96" s="93"/>
      <c r="R96" s="71" t="s">
        <v>37</v>
      </c>
      <c r="S96" s="65"/>
      <c r="T96" s="477"/>
      <c r="U96" s="421"/>
      <c r="V96" s="477"/>
      <c r="W96" s="64"/>
      <c r="X96" s="54" t="str">
        <f t="shared" ref="X96:X97" si="22">""&amp;TEXT(G96,"0,0")&amp;" чел. х "&amp;TEXT(I96,"0,0")&amp;" раз х "&amp;TEXT(ROUND((K96),2),"0 000,00")&amp;" руб. = "&amp;TEXT(ROUND((M96),2),"0 000,00")&amp;" руб. = "&amp;TEXT(O96,"0 000,00")&amp;" руб."</f>
        <v>1,0 чел. х 1,0 раз х 2 975,35 руб. = 2 975,35 руб. = 3 000,00 руб.</v>
      </c>
    </row>
    <row r="97" spans="1:25" ht="15" x14ac:dyDescent="0.25">
      <c r="A97" s="383"/>
      <c r="B97" s="618"/>
      <c r="C97" s="64"/>
      <c r="D97" s="437"/>
      <c r="E97" s="620"/>
      <c r="F97" s="68" t="s">
        <v>193</v>
      </c>
      <c r="G97" s="66">
        <v>1</v>
      </c>
      <c r="H97" s="67" t="str">
        <f>H95</f>
        <v xml:space="preserve">руб. х индекс потребительских цен </v>
      </c>
      <c r="I97" s="69">
        <v>1</v>
      </c>
      <c r="J97" s="67" t="s">
        <v>25</v>
      </c>
      <c r="K97" s="69">
        <f>K96*1.0408</f>
        <v>3096.7394189336078</v>
      </c>
      <c r="L97" s="67" t="s">
        <v>41</v>
      </c>
      <c r="M97" s="70">
        <f t="shared" si="21"/>
        <v>3096.7394189336078</v>
      </c>
      <c r="N97" s="71" t="s">
        <v>37</v>
      </c>
      <c r="O97" s="70">
        <f>ROUNDUP((M97),-2)</f>
        <v>3100</v>
      </c>
      <c r="P97" s="71" t="s">
        <v>37</v>
      </c>
      <c r="Q97" s="70"/>
      <c r="R97" s="71" t="s">
        <v>37</v>
      </c>
      <c r="S97" s="65"/>
      <c r="T97" s="478"/>
      <c r="U97" s="422"/>
      <c r="V97" s="478"/>
      <c r="W97" s="64"/>
      <c r="X97" s="54" t="str">
        <f t="shared" si="22"/>
        <v>1,0 чел. х 1,0 раз х 3 096,74 руб. = 3 096,74 руб. = 3 100,00 руб.</v>
      </c>
    </row>
    <row r="98" spans="1:25" ht="120.75" customHeight="1" x14ac:dyDescent="0.25">
      <c r="A98" s="383" t="s">
        <v>126</v>
      </c>
      <c r="B98" s="628" t="s">
        <v>107</v>
      </c>
      <c r="C98" s="64"/>
      <c r="D98" s="619">
        <v>226</v>
      </c>
      <c r="E98" s="619">
        <v>244</v>
      </c>
      <c r="F98" s="380" t="s">
        <v>182</v>
      </c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65"/>
      <c r="T98" s="477">
        <f>O100</f>
        <v>26500</v>
      </c>
      <c r="U98" s="477">
        <f>O101</f>
        <v>27600</v>
      </c>
      <c r="V98" s="477">
        <f>Q102</f>
        <v>28800</v>
      </c>
      <c r="W98" s="64"/>
      <c r="X98" s="54" t="s">
        <v>69</v>
      </c>
    </row>
    <row r="99" spans="1:25" ht="17.25" customHeight="1" outlineLevel="1" x14ac:dyDescent="0.25">
      <c r="A99" s="383"/>
      <c r="B99" s="629"/>
      <c r="C99" s="64"/>
      <c r="D99" s="437"/>
      <c r="E99" s="620"/>
      <c r="F99" s="61"/>
      <c r="G99" s="66"/>
      <c r="H99" s="67" t="s">
        <v>66</v>
      </c>
      <c r="I99" s="66"/>
      <c r="J99" s="67" t="s">
        <v>67</v>
      </c>
      <c r="K99" s="66"/>
      <c r="L99" s="67" t="s">
        <v>41</v>
      </c>
      <c r="M99" s="66">
        <f>ROUND((G99*I99*K99),2)</f>
        <v>0</v>
      </c>
      <c r="N99" s="67" t="s">
        <v>37</v>
      </c>
      <c r="O99" s="67"/>
      <c r="P99" s="67"/>
      <c r="Q99" s="67"/>
      <c r="R99" s="65"/>
      <c r="S99" s="65"/>
      <c r="T99" s="477"/>
      <c r="U99" s="477"/>
      <c r="V99" s="477"/>
      <c r="W99" s="64"/>
    </row>
    <row r="100" spans="1:25" ht="18.75" customHeight="1" x14ac:dyDescent="0.25">
      <c r="A100" s="383"/>
      <c r="B100" s="629"/>
      <c r="C100" s="64"/>
      <c r="D100" s="437"/>
      <c r="E100" s="620"/>
      <c r="F100" s="68" t="s">
        <v>150</v>
      </c>
      <c r="G100" s="66">
        <v>1</v>
      </c>
      <c r="H100" s="65" t="s">
        <v>195</v>
      </c>
      <c r="I100" s="69">
        <v>223</v>
      </c>
      <c r="J100" s="67" t="s">
        <v>25</v>
      </c>
      <c r="K100" s="66">
        <v>118.82</v>
      </c>
      <c r="L100" s="67" t="s">
        <v>41</v>
      </c>
      <c r="M100" s="66">
        <f>ROUND((G100*I100*K100),2)</f>
        <v>26496.86</v>
      </c>
      <c r="N100" s="71" t="s">
        <v>37</v>
      </c>
      <c r="O100" s="70">
        <f>ROUNDUP((M100),-2)</f>
        <v>26500</v>
      </c>
      <c r="P100" s="71" t="s">
        <v>37</v>
      </c>
      <c r="Q100" s="70">
        <f t="shared" ref="Q100:Q101" si="23">ROUNDUP((O100),-2)</f>
        <v>26500</v>
      </c>
      <c r="R100" s="72"/>
      <c r="S100" s="65"/>
      <c r="T100" s="477"/>
      <c r="U100" s="477"/>
      <c r="V100" s="477"/>
      <c r="W100" s="64"/>
      <c r="X100" s="54" t="str">
        <f>""&amp;TEXT(G100,"0,0")&amp;" чел. х "&amp;TEXT(I100,"0,0")&amp;" раз х "&amp;TEXT(ROUND((K100),2),"0,00")&amp;" руб. = "&amp;TEXT(ROUND((M100),2),"0 000,00")&amp;" руб. = "&amp;TEXT(O100,"0 000,00")&amp;" руб."</f>
        <v>1,0 чел. х 223,0 раз х 118,82 руб. = 26 496,86 руб. = 26 500,00 руб.</v>
      </c>
    </row>
    <row r="101" spans="1:25" ht="19.5" customHeight="1" x14ac:dyDescent="0.25">
      <c r="A101" s="383"/>
      <c r="B101" s="629"/>
      <c r="C101" s="64"/>
      <c r="D101" s="437"/>
      <c r="E101" s="620"/>
      <c r="F101" s="68" t="s">
        <v>151</v>
      </c>
      <c r="G101" s="66">
        <v>1</v>
      </c>
      <c r="H101" s="67" t="str">
        <f>H100</f>
        <v xml:space="preserve">руб. х индекс потребительских цен </v>
      </c>
      <c r="I101" s="69">
        <v>223</v>
      </c>
      <c r="J101" s="67" t="s">
        <v>25</v>
      </c>
      <c r="K101" s="69">
        <v>123.66</v>
      </c>
      <c r="L101" s="67" t="s">
        <v>41</v>
      </c>
      <c r="M101" s="66">
        <f>ROUND((G101*I101*K101),2)</f>
        <v>27576.18</v>
      </c>
      <c r="N101" s="71" t="s">
        <v>37</v>
      </c>
      <c r="O101" s="70">
        <f>ROUNDUP((M101),-2)</f>
        <v>27600</v>
      </c>
      <c r="P101" s="71" t="s">
        <v>37</v>
      </c>
      <c r="Q101" s="70">
        <f t="shared" si="23"/>
        <v>27600</v>
      </c>
      <c r="R101" s="72"/>
      <c r="S101" s="65"/>
      <c r="T101" s="477"/>
      <c r="U101" s="477"/>
      <c r="V101" s="477"/>
      <c r="W101" s="64"/>
      <c r="X101" s="54" t="str">
        <f t="shared" ref="X101:X102" si="24">""&amp;TEXT(G101,"0,0")&amp;" чел. х "&amp;TEXT(I101,"0,0")&amp;" раз х "&amp;TEXT(ROUND((K101),2),"0,00")&amp;" руб. = "&amp;TEXT(ROUND((M101),2),"0 000,00")&amp;" руб. = "&amp;TEXT(O101,"0 000,00")&amp;" руб."</f>
        <v>1,0 чел. х 223,0 раз х 123,66 руб. = 27 576,18 руб. = 27 600,00 руб.</v>
      </c>
    </row>
    <row r="102" spans="1:25" ht="19.5" customHeight="1" x14ac:dyDescent="0.25">
      <c r="A102" s="383"/>
      <c r="B102" s="629"/>
      <c r="C102" s="64"/>
      <c r="D102" s="437"/>
      <c r="E102" s="620"/>
      <c r="F102" s="68" t="s">
        <v>193</v>
      </c>
      <c r="G102" s="66">
        <v>1</v>
      </c>
      <c r="H102" s="67" t="str">
        <f>H100</f>
        <v xml:space="preserve">руб. х индекс потребительских цен </v>
      </c>
      <c r="I102" s="69">
        <v>223</v>
      </c>
      <c r="J102" s="67" t="s">
        <v>25</v>
      </c>
      <c r="K102" s="69">
        <f>K101*1.0408</f>
        <v>128.70532799999998</v>
      </c>
      <c r="L102" s="67" t="s">
        <v>41</v>
      </c>
      <c r="M102" s="66">
        <f>ROUND((G102*I102*K102),2)</f>
        <v>28701.29</v>
      </c>
      <c r="N102" s="71" t="s">
        <v>37</v>
      </c>
      <c r="O102" s="70">
        <f>ROUNDUP((M102),-2)</f>
        <v>28800</v>
      </c>
      <c r="P102" s="71" t="s">
        <v>37</v>
      </c>
      <c r="Q102" s="70">
        <f>ROUNDUP((O102),-2)</f>
        <v>28800</v>
      </c>
      <c r="R102" s="71" t="s">
        <v>37</v>
      </c>
      <c r="S102" s="65"/>
      <c r="T102" s="478"/>
      <c r="U102" s="478"/>
      <c r="V102" s="478"/>
      <c r="W102" s="64"/>
      <c r="X102" s="54" t="str">
        <f t="shared" si="24"/>
        <v>1,0 чел. х 223,0 раз х 128,71 руб. = 28 701,29 руб. = 28 800,00 руб.</v>
      </c>
    </row>
    <row r="103" spans="1:25" ht="117" customHeight="1" x14ac:dyDescent="0.25">
      <c r="A103" s="383" t="s">
        <v>31</v>
      </c>
      <c r="B103" s="617" t="s">
        <v>184</v>
      </c>
      <c r="C103" s="64"/>
      <c r="D103" s="619">
        <v>226</v>
      </c>
      <c r="E103" s="619">
        <v>244</v>
      </c>
      <c r="F103" s="380" t="s">
        <v>141</v>
      </c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65"/>
      <c r="T103" s="477">
        <f>O105</f>
        <v>150500</v>
      </c>
      <c r="U103" s="477">
        <f>O106</f>
        <v>156600</v>
      </c>
      <c r="V103" s="477">
        <f>O107</f>
        <v>163000</v>
      </c>
      <c r="W103" s="64"/>
      <c r="X103" s="54" t="s">
        <v>185</v>
      </c>
    </row>
    <row r="104" spans="1:25" ht="16.5" customHeight="1" outlineLevel="1" x14ac:dyDescent="0.25">
      <c r="A104" s="383"/>
      <c r="B104" s="618"/>
      <c r="C104" s="64"/>
      <c r="D104" s="437"/>
      <c r="E104" s="620"/>
      <c r="F104" s="61"/>
      <c r="G104" s="66">
        <v>1</v>
      </c>
      <c r="H104" s="67" t="s">
        <v>70</v>
      </c>
      <c r="I104" s="66">
        <v>12</v>
      </c>
      <c r="J104" s="67" t="s">
        <v>63</v>
      </c>
      <c r="K104" s="66"/>
      <c r="L104" s="67" t="s">
        <v>41</v>
      </c>
      <c r="M104" s="66">
        <f>ROUND((G104*I104*K104),2)</f>
        <v>0</v>
      </c>
      <c r="N104" s="67" t="s">
        <v>37</v>
      </c>
      <c r="O104" s="67"/>
      <c r="P104" s="67"/>
      <c r="Q104" s="67"/>
      <c r="R104" s="65"/>
      <c r="S104" s="65"/>
      <c r="T104" s="477"/>
      <c r="U104" s="477"/>
      <c r="V104" s="477"/>
      <c r="W104" s="64"/>
      <c r="X104" s="54"/>
    </row>
    <row r="105" spans="1:25" ht="21" customHeight="1" x14ac:dyDescent="0.25">
      <c r="A105" s="383"/>
      <c r="B105" s="618"/>
      <c r="C105" s="64"/>
      <c r="D105" s="437"/>
      <c r="E105" s="620"/>
      <c r="F105" s="68" t="s">
        <v>150</v>
      </c>
      <c r="G105" s="66">
        <v>1</v>
      </c>
      <c r="H105" s="65" t="s">
        <v>195</v>
      </c>
      <c r="I105" s="69">
        <v>12</v>
      </c>
      <c r="J105" s="67" t="s">
        <v>25</v>
      </c>
      <c r="K105" s="66">
        <v>12536.06</v>
      </c>
      <c r="L105" s="67" t="s">
        <v>41</v>
      </c>
      <c r="M105" s="66">
        <f>ROUND((G105*I105*K105),2)</f>
        <v>150432.72</v>
      </c>
      <c r="N105" s="71" t="s">
        <v>37</v>
      </c>
      <c r="O105" s="70">
        <f>ROUNDUP((M105),-2)</f>
        <v>150500</v>
      </c>
      <c r="P105" s="71" t="s">
        <v>37</v>
      </c>
      <c r="Q105" s="70">
        <f t="shared" ref="Q105:Q106" si="25">ROUNDUP((O105),-2)</f>
        <v>150500</v>
      </c>
      <c r="R105" s="71" t="s">
        <v>37</v>
      </c>
      <c r="S105" s="65"/>
      <c r="T105" s="477"/>
      <c r="U105" s="477"/>
      <c r="V105" s="477"/>
      <c r="W105" s="64"/>
      <c r="X105" s="54" t="str">
        <f>""&amp;TEXT($G$104,"0,0")&amp;" х "&amp;TEXT($I$104,"0,0")&amp;" раз х "&amp;TEXT(ROUND((K105),2),"0 000,00")&amp;" руб. = "&amp;TEXT(ROUND(M105,2),"0 000,00")&amp;" руб. = "&amp;TEXT(O105,"0 000,00")&amp;" руб."</f>
        <v>1,0 х 12,0 раз х 12 536,06 руб. = 150 432,72 руб. = 150 500,00 руб.</v>
      </c>
    </row>
    <row r="106" spans="1:25" ht="21" customHeight="1" x14ac:dyDescent="0.25">
      <c r="A106" s="383"/>
      <c r="B106" s="618"/>
      <c r="C106" s="64"/>
      <c r="D106" s="437"/>
      <c r="E106" s="620"/>
      <c r="F106" s="68" t="s">
        <v>151</v>
      </c>
      <c r="G106" s="66">
        <v>1</v>
      </c>
      <c r="H106" s="67" t="str">
        <f>H105</f>
        <v xml:space="preserve">руб. х индекс потребительских цен </v>
      </c>
      <c r="I106" s="69">
        <v>12</v>
      </c>
      <c r="J106" s="67" t="s">
        <v>25</v>
      </c>
      <c r="K106" s="69">
        <v>13047.54</v>
      </c>
      <c r="L106" s="67" t="s">
        <v>41</v>
      </c>
      <c r="M106" s="66">
        <f>ROUND((G106*I106*K106),2)</f>
        <v>156570.48000000001</v>
      </c>
      <c r="N106" s="71" t="s">
        <v>37</v>
      </c>
      <c r="O106" s="70">
        <f>ROUNDUP((M106),-2)</f>
        <v>156600</v>
      </c>
      <c r="P106" s="71" t="s">
        <v>37</v>
      </c>
      <c r="Q106" s="70">
        <f t="shared" si="25"/>
        <v>156600</v>
      </c>
      <c r="R106" s="71" t="s">
        <v>37</v>
      </c>
      <c r="S106" s="65"/>
      <c r="T106" s="477"/>
      <c r="U106" s="477"/>
      <c r="V106" s="477"/>
      <c r="W106" s="64"/>
      <c r="X106" s="54" t="str">
        <f t="shared" ref="X106:X107" si="26">""&amp;TEXT($G$104,"0,0")&amp;" х "&amp;TEXT($I$104,"0,0")&amp;" раз х "&amp;TEXT(ROUND((K106),2),"0 000,00")&amp;" руб. = "&amp;TEXT(ROUND(M106,2),"0 000,00")&amp;" руб. = "&amp;TEXT(O106,"0 000,00")&amp;" руб."</f>
        <v>1,0 х 12,0 раз х 13 047,54 руб. = 156 570,48 руб. = 156 600,00 руб.</v>
      </c>
    </row>
    <row r="107" spans="1:25" ht="21" customHeight="1" x14ac:dyDescent="0.25">
      <c r="A107" s="383"/>
      <c r="B107" s="618"/>
      <c r="C107" s="64"/>
      <c r="D107" s="437"/>
      <c r="E107" s="620"/>
      <c r="F107" s="68" t="s">
        <v>193</v>
      </c>
      <c r="G107" s="66">
        <v>1</v>
      </c>
      <c r="H107" s="67" t="str">
        <f>H105</f>
        <v xml:space="preserve">руб. х индекс потребительских цен </v>
      </c>
      <c r="I107" s="69">
        <f>$I$105</f>
        <v>12</v>
      </c>
      <c r="J107" s="67" t="s">
        <v>25</v>
      </c>
      <c r="K107" s="69">
        <f>K106*1.0408</f>
        <v>13579.879632</v>
      </c>
      <c r="L107" s="67" t="s">
        <v>41</v>
      </c>
      <c r="M107" s="66">
        <f>ROUND((G107*I107*K107),2)</f>
        <v>162958.56</v>
      </c>
      <c r="N107" s="71" t="s">
        <v>37</v>
      </c>
      <c r="O107" s="70">
        <f>ROUNDUP((M107),-2)</f>
        <v>163000</v>
      </c>
      <c r="P107" s="71" t="s">
        <v>37</v>
      </c>
      <c r="Q107" s="70">
        <f>ROUNDUP((O107),-2)</f>
        <v>163000</v>
      </c>
      <c r="R107" s="71" t="s">
        <v>37</v>
      </c>
      <c r="S107" s="65"/>
      <c r="T107" s="478"/>
      <c r="U107" s="478"/>
      <c r="V107" s="478"/>
      <c r="W107" s="64"/>
      <c r="X107" s="54" t="str">
        <f t="shared" si="26"/>
        <v>1,0 х 12,0 раз х 13 579,88 руб. = 162 958,56 руб. = 163 000,00 руб.</v>
      </c>
    </row>
    <row r="108" spans="1:25" ht="75" x14ac:dyDescent="0.25">
      <c r="A108" s="383" t="s">
        <v>131</v>
      </c>
      <c r="B108" s="617" t="s">
        <v>108</v>
      </c>
      <c r="C108" s="64"/>
      <c r="D108" s="619">
        <v>227</v>
      </c>
      <c r="E108" s="619">
        <v>244</v>
      </c>
      <c r="F108" s="380" t="s">
        <v>141</v>
      </c>
      <c r="G108" s="380"/>
      <c r="H108" s="380"/>
      <c r="I108" s="380"/>
      <c r="J108" s="380"/>
      <c r="K108" s="380"/>
      <c r="L108" s="380"/>
      <c r="M108" s="380"/>
      <c r="N108" s="380"/>
      <c r="O108" s="380"/>
      <c r="P108" s="380"/>
      <c r="Q108" s="380"/>
      <c r="R108" s="380"/>
      <c r="S108" s="65"/>
      <c r="T108" s="477">
        <f>M110</f>
        <v>10600</v>
      </c>
      <c r="U108" s="477">
        <f>O111</f>
        <v>11100</v>
      </c>
      <c r="V108" s="477">
        <f>Q112</f>
        <v>11500</v>
      </c>
      <c r="W108" s="64"/>
      <c r="X108" s="54" t="s">
        <v>71</v>
      </c>
    </row>
    <row r="109" spans="1:25" ht="15.75" customHeight="1" outlineLevel="1" x14ac:dyDescent="0.25">
      <c r="A109" s="383"/>
      <c r="B109" s="618"/>
      <c r="C109" s="64"/>
      <c r="D109" s="437"/>
      <c r="E109" s="620"/>
      <c r="F109" s="61"/>
      <c r="G109" s="66">
        <v>1</v>
      </c>
      <c r="H109" s="67" t="s">
        <v>72</v>
      </c>
      <c r="I109" s="66"/>
      <c r="J109" s="67" t="s">
        <v>41</v>
      </c>
      <c r="K109" s="66">
        <f>ROUND((G109*I109),2)</f>
        <v>0</v>
      </c>
      <c r="L109" s="67" t="s">
        <v>37</v>
      </c>
      <c r="M109" s="67"/>
      <c r="N109" s="67"/>
      <c r="O109" s="67"/>
      <c r="P109" s="67"/>
      <c r="Q109" s="67"/>
      <c r="R109" s="65"/>
      <c r="S109" s="65"/>
      <c r="T109" s="477"/>
      <c r="U109" s="477"/>
      <c r="V109" s="477"/>
      <c r="W109" s="64"/>
      <c r="X109" s="54"/>
    </row>
    <row r="110" spans="1:25" ht="19.5" customHeight="1" x14ac:dyDescent="0.25">
      <c r="A110" s="383"/>
      <c r="B110" s="618"/>
      <c r="C110" s="64"/>
      <c r="D110" s="437"/>
      <c r="E110" s="620"/>
      <c r="F110" s="68" t="s">
        <v>150</v>
      </c>
      <c r="G110" s="66">
        <v>1</v>
      </c>
      <c r="H110" s="65" t="s">
        <v>195</v>
      </c>
      <c r="I110" s="69">
        <v>10598.77</v>
      </c>
      <c r="J110" s="67" t="s">
        <v>25</v>
      </c>
      <c r="K110" s="66">
        <f>I110*G110</f>
        <v>10598.77</v>
      </c>
      <c r="L110" s="67" t="s">
        <v>41</v>
      </c>
      <c r="M110" s="70">
        <f>ROUNDUP((K110),-2)</f>
        <v>10600</v>
      </c>
      <c r="N110" s="71" t="s">
        <v>37</v>
      </c>
      <c r="O110" s="70">
        <f>ROUNDUP((M110),-2)</f>
        <v>10600</v>
      </c>
      <c r="P110" s="72"/>
      <c r="Q110" s="72"/>
      <c r="R110" s="72"/>
      <c r="S110" s="65"/>
      <c r="T110" s="477"/>
      <c r="U110" s="477"/>
      <c r="V110" s="477"/>
      <c r="W110" s="64"/>
      <c r="X110" s="54" t="str">
        <f>""&amp;TEXT(G110,"0,0")&amp;" авт. х "&amp;TEXT(ROUND((I110),2),"0 000,00")&amp;" руб. = "&amp;TEXT(ROUND(($G$109*(ROUND((K110/$G$109),2))),2),"0 000,00")&amp;" руб. = "&amp;TEXT(M110,"0 000,00")&amp;" руб."</f>
        <v>1,0 авт. х 10 598,77 руб. = 10 598,77 руб. = 10 600,00 руб.</v>
      </c>
    </row>
    <row r="111" spans="1:25" ht="19.5" customHeight="1" x14ac:dyDescent="0.25">
      <c r="A111" s="383"/>
      <c r="B111" s="618"/>
      <c r="C111" s="64"/>
      <c r="D111" s="437"/>
      <c r="E111" s="620"/>
      <c r="F111" s="68" t="s">
        <v>151</v>
      </c>
      <c r="G111" s="66">
        <v>1</v>
      </c>
      <c r="H111" s="67" t="str">
        <f>H110</f>
        <v xml:space="preserve">руб. х индекс потребительских цен </v>
      </c>
      <c r="I111" s="69">
        <v>11031.2</v>
      </c>
      <c r="J111" s="67" t="s">
        <v>25</v>
      </c>
      <c r="K111" s="66">
        <f t="shared" ref="K111:K112" si="27">I111*G111</f>
        <v>11031.2</v>
      </c>
      <c r="L111" s="67" t="s">
        <v>41</v>
      </c>
      <c r="M111" s="70">
        <f t="shared" ref="M111:M112" si="28">ROUNDUP((K111),-2)</f>
        <v>11100</v>
      </c>
      <c r="N111" s="67" t="s">
        <v>41</v>
      </c>
      <c r="O111" s="70">
        <f>ROUNDUP((M111),-2)</f>
        <v>11100</v>
      </c>
      <c r="P111" s="71" t="s">
        <v>37</v>
      </c>
      <c r="Q111" s="72"/>
      <c r="R111" s="72"/>
      <c r="S111" s="65"/>
      <c r="T111" s="477"/>
      <c r="U111" s="477"/>
      <c r="V111" s="477"/>
      <c r="W111" s="64"/>
      <c r="X111" s="54" t="str">
        <f t="shared" ref="X111:X112" si="29">""&amp;TEXT(G111,"0,0")&amp;" авт. х "&amp;TEXT(ROUND((K111/$G$109),2),"0 000,00")&amp;" руб. = "&amp;TEXT(ROUND(($G$109*(ROUND((K111/$G$109),2))),2),"0 000,00")&amp;" руб. = "&amp;TEXT(M111,"0 000,00")&amp;" руб."</f>
        <v>1,0 авт. х 11 031,20 руб. = 11 031,20 руб. = 11 100,00 руб.</v>
      </c>
    </row>
    <row r="112" spans="1:25" s="95" customFormat="1" ht="19.5" customHeight="1" x14ac:dyDescent="0.25">
      <c r="A112" s="383"/>
      <c r="B112" s="618"/>
      <c r="C112" s="64"/>
      <c r="D112" s="437"/>
      <c r="E112" s="620"/>
      <c r="F112" s="68" t="s">
        <v>193</v>
      </c>
      <c r="G112" s="66">
        <v>1</v>
      </c>
      <c r="H112" s="67" t="str">
        <f>H110</f>
        <v xml:space="preserve">руб. х индекс потребительских цен </v>
      </c>
      <c r="I112" s="69">
        <f>I111*1.0408</f>
        <v>11481.27296</v>
      </c>
      <c r="J112" s="67" t="s">
        <v>25</v>
      </c>
      <c r="K112" s="66">
        <f t="shared" si="27"/>
        <v>11481.27296</v>
      </c>
      <c r="L112" s="67" t="s">
        <v>41</v>
      </c>
      <c r="M112" s="70">
        <f t="shared" si="28"/>
        <v>11500</v>
      </c>
      <c r="N112" s="67" t="s">
        <v>25</v>
      </c>
      <c r="O112" s="70">
        <f>ROUNDUP((M112),-2)</f>
        <v>11500</v>
      </c>
      <c r="P112" s="67" t="s">
        <v>41</v>
      </c>
      <c r="Q112" s="70">
        <f>ROUNDUP((O112),-2)</f>
        <v>11500</v>
      </c>
      <c r="R112" s="71" t="s">
        <v>37</v>
      </c>
      <c r="S112" s="65"/>
      <c r="T112" s="478"/>
      <c r="U112" s="478"/>
      <c r="V112" s="478"/>
      <c r="W112" s="64"/>
      <c r="X112" s="54" t="str">
        <f t="shared" si="29"/>
        <v>1,0 авт. х 11 481,27 руб. = 11 481,27 руб. = 11 500,00 руб.</v>
      </c>
      <c r="Y112" s="94"/>
    </row>
    <row r="113" spans="1:25" s="95" customFormat="1" ht="75" x14ac:dyDescent="0.25">
      <c r="A113" s="96" t="s">
        <v>14</v>
      </c>
      <c r="B113" s="123" t="s">
        <v>101</v>
      </c>
      <c r="C113" s="52"/>
      <c r="D113" s="53" t="s">
        <v>35</v>
      </c>
      <c r="E113" s="53" t="s">
        <v>35</v>
      </c>
      <c r="F113" s="423"/>
      <c r="G113" s="424"/>
      <c r="H113" s="424"/>
      <c r="I113" s="424"/>
      <c r="J113" s="424"/>
      <c r="K113" s="424"/>
      <c r="L113" s="424"/>
      <c r="M113" s="424"/>
      <c r="N113" s="424"/>
      <c r="O113" s="424"/>
      <c r="P113" s="424"/>
      <c r="Q113" s="424"/>
      <c r="R113" s="424"/>
      <c r="S113" s="424"/>
      <c r="T113" s="112">
        <f>SUM(T114,T118,T123)</f>
        <v>2586300</v>
      </c>
      <c r="U113" s="112">
        <f t="shared" ref="U113:V113" si="30">SUM(U114,U118,U123)</f>
        <v>2694100</v>
      </c>
      <c r="V113" s="112">
        <f t="shared" si="30"/>
        <v>2805400</v>
      </c>
      <c r="W113" s="52"/>
      <c r="X113" s="86" t="str">
        <f>"Нормативные "&amp;TEXT(B113,"0")&amp;" включают в себя:
нормативные "&amp;TEXT(B114,"0")&amp;";
нормативные "&amp;TEXT(B118,"0")&amp;";
нормативные "&amp;TEXT(B123,"0")&amp;""</f>
        <v>Нормативные затраты на приобретение основных средств включают в себя:
нормативные затраты на приобретение мебели;
нормативные затраты на приобретение систем кондиционирования;
нормативные затраты на приобретение прочих основных средств (калькулятор, вентилятор, электрочайник, микроволновая печь, холодильник, счетчик банкнот и т.п.)</v>
      </c>
    </row>
    <row r="114" spans="1:25" s="95" customFormat="1" ht="121.5" customHeight="1" x14ac:dyDescent="0.25">
      <c r="A114" s="388" t="s">
        <v>15</v>
      </c>
      <c r="B114" s="625" t="s">
        <v>102</v>
      </c>
      <c r="C114" s="64"/>
      <c r="D114" s="614">
        <v>310</v>
      </c>
      <c r="E114" s="614">
        <v>244</v>
      </c>
      <c r="F114" s="417" t="s">
        <v>53</v>
      </c>
      <c r="G114" s="418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9"/>
      <c r="S114" s="65"/>
      <c r="T114" s="420">
        <f>Q115</f>
        <v>1075400</v>
      </c>
      <c r="U114" s="420">
        <f>Q116</f>
        <v>1121700</v>
      </c>
      <c r="V114" s="420">
        <f>Q117</f>
        <v>1168800</v>
      </c>
      <c r="W114" s="64"/>
      <c r="X114" s="54" t="s">
        <v>54</v>
      </c>
    </row>
    <row r="115" spans="1:25" s="95" customFormat="1" ht="21" customHeight="1" x14ac:dyDescent="0.25">
      <c r="A115" s="389"/>
      <c r="B115" s="626"/>
      <c r="C115" s="64"/>
      <c r="D115" s="615"/>
      <c r="E115" s="615"/>
      <c r="F115" s="68" t="s">
        <v>158</v>
      </c>
      <c r="G115" s="66">
        <v>40393</v>
      </c>
      <c r="H115" s="67" t="s">
        <v>42</v>
      </c>
      <c r="I115" s="66">
        <v>213</v>
      </c>
      <c r="J115" s="67" t="s">
        <v>45</v>
      </c>
      <c r="K115" s="66">
        <v>8</v>
      </c>
      <c r="L115" s="67" t="s">
        <v>43</v>
      </c>
      <c r="M115" s="66">
        <v>0</v>
      </c>
      <c r="N115" s="67" t="s">
        <v>44</v>
      </c>
      <c r="O115" s="66">
        <f>ROUND((G115*(I115/K115+M115)),2)</f>
        <v>1075463.6299999999</v>
      </c>
      <c r="P115" s="67" t="s">
        <v>41</v>
      </c>
      <c r="Q115" s="70">
        <f>ROUNDDOWN((O115),-2)</f>
        <v>1075400</v>
      </c>
      <c r="R115" s="71" t="s">
        <v>37</v>
      </c>
      <c r="S115" s="65"/>
      <c r="T115" s="421"/>
      <c r="U115" s="421"/>
      <c r="V115" s="421"/>
      <c r="W115" s="64"/>
      <c r="X115" s="54" t="str">
        <f>"норматив "&amp;TEXT(G115,"0 000,00")&amp;" руб. х ("&amp;TEXT(I115,"000,00")&amp;" шт.ед. : срок "&amp;TEXT(K115,"0")&amp;" лет + "&amp;TEXT(M115,"0,00")&amp;" шт.ед.) = "&amp;TEXT(O115,"0 000,00")&amp;" руб. = "&amp;TEXT(Q115,"0 000,00")&amp;" руб."</f>
        <v>норматив 40 393,00 руб. х (213,00 шт.ед. : срок 8 лет + 0,00 шт.ед.) = 1 075 463,63 руб. = 1 075 400,00 руб.</v>
      </c>
      <c r="Y115" s="94"/>
    </row>
    <row r="116" spans="1:25" s="95" customFormat="1" ht="21" customHeight="1" x14ac:dyDescent="0.25">
      <c r="A116" s="389"/>
      <c r="B116" s="626"/>
      <c r="C116" s="64"/>
      <c r="D116" s="615"/>
      <c r="E116" s="615"/>
      <c r="F116" s="68" t="s">
        <v>159</v>
      </c>
      <c r="G116" s="66">
        <v>42130</v>
      </c>
      <c r="H116" s="67" t="s">
        <v>42</v>
      </c>
      <c r="I116" s="66">
        <v>213</v>
      </c>
      <c r="J116" s="67" t="s">
        <v>45</v>
      </c>
      <c r="K116" s="66">
        <v>8</v>
      </c>
      <c r="L116" s="67" t="s">
        <v>43</v>
      </c>
      <c r="M116" s="66">
        <v>0</v>
      </c>
      <c r="N116" s="67" t="s">
        <v>44</v>
      </c>
      <c r="O116" s="66">
        <f>ROUND((G116*(I116/K116+M116)),2)</f>
        <v>1121711.25</v>
      </c>
      <c r="P116" s="67" t="s">
        <v>41</v>
      </c>
      <c r="Q116" s="70">
        <f>ROUNDDOWN((O116),-2)</f>
        <v>1121700</v>
      </c>
      <c r="R116" s="71" t="s">
        <v>37</v>
      </c>
      <c r="S116" s="65"/>
      <c r="T116" s="421"/>
      <c r="U116" s="421"/>
      <c r="V116" s="421"/>
      <c r="W116" s="64"/>
      <c r="X116" s="54" t="str">
        <f t="shared" ref="X116:X117" si="31">"норматив "&amp;TEXT(G116,"0 000,00")&amp;" руб. х ("&amp;TEXT(I116,"000,00")&amp;" шт.ед. : срок "&amp;TEXT(K116,"0")&amp;" лет + "&amp;TEXT(M116,"0,00")&amp;" шт.ед.) = "&amp;TEXT(O116,"0 000,00")&amp;" руб. = "&amp;TEXT(Q116,"0 000,00")&amp;" руб."</f>
        <v>норматив 42 130,00 руб. х (213,00 шт.ед. : срок 8 лет + 0,00 шт.ед.) = 1 121 711,25 руб. = 1 121 700,00 руб.</v>
      </c>
      <c r="Y116" s="94"/>
    </row>
    <row r="117" spans="1:25" s="95" customFormat="1" ht="21" customHeight="1" x14ac:dyDescent="0.25">
      <c r="A117" s="390"/>
      <c r="B117" s="627"/>
      <c r="C117" s="64"/>
      <c r="D117" s="616"/>
      <c r="E117" s="616"/>
      <c r="F117" s="68" t="s">
        <v>194</v>
      </c>
      <c r="G117" s="66">
        <v>43899</v>
      </c>
      <c r="H117" s="67" t="s">
        <v>42</v>
      </c>
      <c r="I117" s="66">
        <v>213</v>
      </c>
      <c r="J117" s="67" t="s">
        <v>45</v>
      </c>
      <c r="K117" s="66">
        <v>8</v>
      </c>
      <c r="L117" s="67" t="s">
        <v>43</v>
      </c>
      <c r="M117" s="66">
        <v>0</v>
      </c>
      <c r="N117" s="67" t="s">
        <v>44</v>
      </c>
      <c r="O117" s="66">
        <f>ROUND((G117*(I117/K117+M117)),2)</f>
        <v>1168810.8799999999</v>
      </c>
      <c r="P117" s="67" t="s">
        <v>41</v>
      </c>
      <c r="Q117" s="70">
        <f>ROUNDDOWN((O117),-2)</f>
        <v>1168800</v>
      </c>
      <c r="R117" s="71" t="s">
        <v>37</v>
      </c>
      <c r="S117" s="61"/>
      <c r="T117" s="422"/>
      <c r="U117" s="422"/>
      <c r="V117" s="422"/>
      <c r="W117" s="64"/>
      <c r="X117" s="54" t="str">
        <f t="shared" si="31"/>
        <v>норматив 43 899,00 руб. х (213,00 шт.ед. : срок 8 лет + 0,00 шт.ед.) = 1 168 810,88 руб. = 1 168 800,00 руб.</v>
      </c>
    </row>
    <row r="118" spans="1:25" ht="75" x14ac:dyDescent="0.25">
      <c r="A118" s="388" t="s">
        <v>181</v>
      </c>
      <c r="B118" s="611" t="s">
        <v>147</v>
      </c>
      <c r="C118" s="64"/>
      <c r="D118" s="619">
        <v>310</v>
      </c>
      <c r="E118" s="619">
        <v>244</v>
      </c>
      <c r="F118" s="622"/>
      <c r="G118" s="622"/>
      <c r="H118" s="622"/>
      <c r="I118" s="622"/>
      <c r="J118" s="622"/>
      <c r="K118" s="622"/>
      <c r="L118" s="622"/>
      <c r="M118" s="622"/>
      <c r="N118" s="622"/>
      <c r="O118" s="622"/>
      <c r="P118" s="622"/>
      <c r="Q118" s="622"/>
      <c r="R118" s="622"/>
      <c r="S118" s="65"/>
      <c r="T118" s="477">
        <f>M120</f>
        <v>1416200</v>
      </c>
      <c r="U118" s="477">
        <f>M121</f>
        <v>1473900</v>
      </c>
      <c r="V118" s="477">
        <f>M122</f>
        <v>1534100</v>
      </c>
      <c r="W118" s="64"/>
      <c r="X118" s="54" t="s">
        <v>169</v>
      </c>
    </row>
    <row r="119" spans="1:25" ht="13.5" customHeight="1" outlineLevel="1" x14ac:dyDescent="0.25">
      <c r="A119" s="389"/>
      <c r="B119" s="612"/>
      <c r="C119" s="64"/>
      <c r="D119" s="619"/>
      <c r="E119" s="619"/>
      <c r="F119" s="61"/>
      <c r="G119" s="66"/>
      <c r="H119" s="67"/>
      <c r="I119" s="66"/>
      <c r="J119" s="67"/>
      <c r="K119" s="66"/>
      <c r="L119" s="67" t="s">
        <v>37</v>
      </c>
      <c r="M119" s="67"/>
      <c r="N119" s="67"/>
      <c r="O119" s="67"/>
      <c r="P119" s="67"/>
      <c r="Q119" s="67"/>
      <c r="R119" s="65"/>
      <c r="S119" s="65"/>
      <c r="T119" s="477"/>
      <c r="U119" s="477"/>
      <c r="V119" s="477"/>
      <c r="W119" s="64"/>
      <c r="X119" s="54"/>
    </row>
    <row r="120" spans="1:25" ht="24.75" customHeight="1" x14ac:dyDescent="0.25">
      <c r="A120" s="389"/>
      <c r="B120" s="623"/>
      <c r="C120" s="64"/>
      <c r="D120" s="621"/>
      <c r="E120" s="621"/>
      <c r="F120" s="68" t="s">
        <v>150</v>
      </c>
      <c r="G120" s="66">
        <v>30</v>
      </c>
      <c r="H120" s="67" t="s">
        <v>78</v>
      </c>
      <c r="I120" s="69">
        <v>47204.04</v>
      </c>
      <c r="J120" s="67" t="s">
        <v>41</v>
      </c>
      <c r="K120" s="66">
        <f>ROUND((G120*I120),2)</f>
        <v>1416121.2</v>
      </c>
      <c r="L120" s="67" t="s">
        <v>41</v>
      </c>
      <c r="M120" s="70">
        <f>ROUNDUP((K120),-2)</f>
        <v>1416200</v>
      </c>
      <c r="N120" s="71" t="s">
        <v>37</v>
      </c>
      <c r="O120" s="70">
        <f>ROUNDDOWN((M120),-2)</f>
        <v>1416200</v>
      </c>
      <c r="P120" s="67"/>
      <c r="Q120" s="67"/>
      <c r="R120" s="65"/>
      <c r="S120" s="65"/>
      <c r="T120" s="477"/>
      <c r="U120" s="477"/>
      <c r="V120" s="477"/>
      <c r="W120" s="64"/>
      <c r="X120" s="54" t="str">
        <f>""&amp;TEXT(G120,"0,0")&amp;" шт. х "&amp;TEXT(ROUND((I120),2),"000,00")&amp;" руб. = "&amp;TEXT(ROUND(($G$125*(ROUND((K120/$G$125),2))),2),"0 000,00")&amp;" руб. = "&amp;TEXT(M120,"0 000,00")&amp;" руб."</f>
        <v>30,0 шт. х 47204,04 руб. = 1 416 121,20 руб. = 1 416 200,00 руб.</v>
      </c>
    </row>
    <row r="121" spans="1:25" ht="20.25" customHeight="1" outlineLevel="1" x14ac:dyDescent="0.25">
      <c r="A121" s="389"/>
      <c r="B121" s="623"/>
      <c r="C121" s="64"/>
      <c r="D121" s="621"/>
      <c r="E121" s="621"/>
      <c r="F121" s="68" t="s">
        <v>151</v>
      </c>
      <c r="G121" s="66">
        <v>30</v>
      </c>
      <c r="H121" s="67" t="s">
        <v>78</v>
      </c>
      <c r="I121" s="69">
        <v>49129.97</v>
      </c>
      <c r="J121" s="67" t="s">
        <v>41</v>
      </c>
      <c r="K121" s="66">
        <f t="shared" ref="K121:K122" si="32">ROUND((G121*I121),2)</f>
        <v>1473899.1</v>
      </c>
      <c r="L121" s="67" t="s">
        <v>41</v>
      </c>
      <c r="M121" s="70">
        <f t="shared" ref="M121:M122" si="33">ROUNDUP((K121),-2)</f>
        <v>1473900</v>
      </c>
      <c r="N121" s="71" t="s">
        <v>37</v>
      </c>
      <c r="O121" s="70">
        <f t="shared" ref="O121:O122" si="34">ROUNDDOWN((M121),-2)</f>
        <v>1473900</v>
      </c>
      <c r="P121" s="71"/>
      <c r="Q121" s="93"/>
      <c r="R121" s="67"/>
      <c r="S121" s="65"/>
      <c r="T121" s="477"/>
      <c r="U121" s="477"/>
      <c r="V121" s="477"/>
      <c r="W121" s="64"/>
      <c r="X121" s="54" t="str">
        <f>""&amp;TEXT(G121,"0,0")&amp;" шт. х "&amp;TEXT(ROUND((I121),2),"000,00")&amp;" руб. = "&amp;TEXT(ROUND(($G$125*(ROUND((K121/$G$125),2))),2),"0 000,00")&amp;" руб. = "&amp;TEXT(M121,"0 000,00")&amp;" руб."</f>
        <v>30,0 шт. х 49129,97 руб. = 1 473 899,10 руб. = 1 473 900,00 руб.</v>
      </c>
    </row>
    <row r="122" spans="1:25" ht="21" customHeight="1" outlineLevel="1" x14ac:dyDescent="0.25">
      <c r="A122" s="390"/>
      <c r="B122" s="624"/>
      <c r="C122" s="64"/>
      <c r="D122" s="621"/>
      <c r="E122" s="621"/>
      <c r="F122" s="68" t="s">
        <v>193</v>
      </c>
      <c r="G122" s="66">
        <v>30</v>
      </c>
      <c r="H122" s="67" t="s">
        <v>78</v>
      </c>
      <c r="I122" s="69">
        <f>$I$121*1.0408</f>
        <v>51134.472775999995</v>
      </c>
      <c r="J122" s="67" t="s">
        <v>41</v>
      </c>
      <c r="K122" s="66">
        <f t="shared" si="32"/>
        <v>1534034.18</v>
      </c>
      <c r="L122" s="67" t="s">
        <v>41</v>
      </c>
      <c r="M122" s="70">
        <f t="shared" si="33"/>
        <v>1534100</v>
      </c>
      <c r="N122" s="71" t="s">
        <v>37</v>
      </c>
      <c r="O122" s="70">
        <f t="shared" si="34"/>
        <v>1534100</v>
      </c>
      <c r="P122" s="67"/>
      <c r="Q122" s="99"/>
      <c r="R122" s="71"/>
      <c r="S122" s="65"/>
      <c r="T122" s="477"/>
      <c r="U122" s="477"/>
      <c r="V122" s="477"/>
      <c r="W122" s="64"/>
      <c r="X122" s="54" t="str">
        <f>""&amp;TEXT(G122,"0,0")&amp;" шт. х "&amp;TEXT(ROUND((I122),2),"000,00")&amp;" руб. = "&amp;TEXT(ROUND(($G$125*(ROUND((K122/$G$125),2))),2),"0 000,00")&amp;" руб. = "&amp;TEXT(M122,"0 000,00")&amp;" руб."</f>
        <v>30,0 шт. х 51134,47 руб. = 1 534 034,18 руб. = 1 534 100,00 руб.</v>
      </c>
    </row>
    <row r="123" spans="1:25" ht="75" x14ac:dyDescent="0.25">
      <c r="A123" s="388" t="s">
        <v>173</v>
      </c>
      <c r="B123" s="611" t="s">
        <v>223</v>
      </c>
      <c r="C123" s="64"/>
      <c r="D123" s="619">
        <v>310</v>
      </c>
      <c r="E123" s="619">
        <v>244</v>
      </c>
      <c r="F123" s="622"/>
      <c r="G123" s="622"/>
      <c r="H123" s="622"/>
      <c r="I123" s="622"/>
      <c r="J123" s="622"/>
      <c r="K123" s="622"/>
      <c r="L123" s="622"/>
      <c r="M123" s="622"/>
      <c r="N123" s="622"/>
      <c r="O123" s="622"/>
      <c r="P123" s="622"/>
      <c r="Q123" s="622"/>
      <c r="R123" s="622"/>
      <c r="S123" s="65"/>
      <c r="T123" s="477">
        <f>M125</f>
        <v>94700</v>
      </c>
      <c r="U123" s="477">
        <f>M126</f>
        <v>98500</v>
      </c>
      <c r="V123" s="477">
        <f>M127</f>
        <v>102500</v>
      </c>
      <c r="W123" s="64"/>
      <c r="X123" s="54" t="s">
        <v>170</v>
      </c>
    </row>
    <row r="124" spans="1:25" ht="16.5" customHeight="1" outlineLevel="1" x14ac:dyDescent="0.25">
      <c r="A124" s="389"/>
      <c r="B124" s="623"/>
      <c r="C124" s="64"/>
      <c r="D124" s="621"/>
      <c r="E124" s="621"/>
      <c r="F124" s="68"/>
      <c r="G124" s="66"/>
      <c r="H124" s="67"/>
      <c r="I124" s="66"/>
      <c r="J124" s="67"/>
      <c r="K124" s="66"/>
      <c r="L124" s="67" t="s">
        <v>37</v>
      </c>
      <c r="M124" s="67"/>
      <c r="N124" s="67"/>
      <c r="O124" s="67"/>
      <c r="P124" s="67"/>
      <c r="Q124" s="67"/>
      <c r="R124" s="65"/>
      <c r="S124" s="65"/>
      <c r="T124" s="477"/>
      <c r="U124" s="477"/>
      <c r="V124" s="477"/>
      <c r="W124" s="64"/>
    </row>
    <row r="125" spans="1:25" ht="23.25" customHeight="1" x14ac:dyDescent="0.25">
      <c r="A125" s="389"/>
      <c r="B125" s="623"/>
      <c r="C125" s="64"/>
      <c r="D125" s="621"/>
      <c r="E125" s="621"/>
      <c r="F125" s="68" t="s">
        <v>150</v>
      </c>
      <c r="G125" s="66">
        <v>1</v>
      </c>
      <c r="H125" s="67" t="s">
        <v>78</v>
      </c>
      <c r="I125" s="69">
        <v>94610.26</v>
      </c>
      <c r="J125" s="67" t="s">
        <v>41</v>
      </c>
      <c r="K125" s="66">
        <f>ROUND((G125*I125),2)</f>
        <v>94610.26</v>
      </c>
      <c r="L125" s="67" t="s">
        <v>41</v>
      </c>
      <c r="M125" s="70">
        <f>ROUNDUP((K125),-2)</f>
        <v>94700</v>
      </c>
      <c r="N125" s="71" t="s">
        <v>37</v>
      </c>
      <c r="O125" s="70">
        <f>ROUNDDOWN((M125),-2)</f>
        <v>94700</v>
      </c>
      <c r="P125" s="67"/>
      <c r="Q125" s="67"/>
      <c r="R125" s="65"/>
      <c r="S125" s="65"/>
      <c r="T125" s="477"/>
      <c r="U125" s="477"/>
      <c r="V125" s="477"/>
      <c r="W125" s="64"/>
      <c r="X125" s="54" t="str">
        <f>""&amp;TEXT($G$125,"0,0")&amp;" шт. х "&amp;TEXT(ROUND((K125/$G$125),2),"000,00")&amp;" руб. = "&amp;TEXT(ROUND(($G$125*(ROUND((K125/$G$125),2))),2),"0 000,00")&amp;" руб. = "&amp;TEXT(M125,"0 000,00")&amp;" руб."</f>
        <v>1,0 шт. х 94610,26 руб. = 94 610,26 руб. = 94 700,00 руб.</v>
      </c>
    </row>
    <row r="126" spans="1:25" ht="18" customHeight="1" outlineLevel="1" x14ac:dyDescent="0.25">
      <c r="A126" s="389"/>
      <c r="B126" s="623"/>
      <c r="C126" s="64"/>
      <c r="D126" s="621"/>
      <c r="E126" s="621"/>
      <c r="F126" s="68" t="s">
        <v>151</v>
      </c>
      <c r="G126" s="66">
        <v>1</v>
      </c>
      <c r="H126" s="67" t="s">
        <v>78</v>
      </c>
      <c r="I126" s="69">
        <f>I125*1.0408</f>
        <v>98470.358607999995</v>
      </c>
      <c r="J126" s="67" t="s">
        <v>41</v>
      </c>
      <c r="K126" s="66">
        <f t="shared" ref="K126:K127" si="35">ROUND((G126*I126),2)</f>
        <v>98470.36</v>
      </c>
      <c r="L126" s="67" t="s">
        <v>41</v>
      </c>
      <c r="M126" s="70">
        <f t="shared" ref="M126:M127" si="36">ROUNDUP((K126),-2)</f>
        <v>98500</v>
      </c>
      <c r="N126" s="71" t="s">
        <v>37</v>
      </c>
      <c r="O126" s="70">
        <f t="shared" ref="O126:O127" si="37">ROUNDDOWN((M126),-2)</f>
        <v>98500</v>
      </c>
      <c r="P126" s="71"/>
      <c r="Q126" s="93"/>
      <c r="R126" s="67"/>
      <c r="S126" s="65"/>
      <c r="T126" s="477"/>
      <c r="U126" s="477"/>
      <c r="V126" s="477"/>
      <c r="W126" s="64"/>
      <c r="X126" s="54" t="str">
        <f t="shared" ref="X126:X127" si="38">""&amp;TEXT($G$125,"0,0")&amp;" шт. х "&amp;TEXT(ROUND((K126/$G$125),2),"000,00")&amp;" руб. = "&amp;TEXT(ROUND(($G$125*(ROUND((K126/$G$125),2))),2),"0 000,00")&amp;" руб. = "&amp;TEXT(M126,"0 000,00")&amp;" руб."</f>
        <v>1,0 шт. х 98470,36 руб. = 98 470,36 руб. = 98 500,00 руб.</v>
      </c>
    </row>
    <row r="127" spans="1:25" ht="19.5" customHeight="1" outlineLevel="1" x14ac:dyDescent="0.25">
      <c r="A127" s="390"/>
      <c r="B127" s="624"/>
      <c r="C127" s="64"/>
      <c r="D127" s="621"/>
      <c r="E127" s="621"/>
      <c r="F127" s="68" t="s">
        <v>193</v>
      </c>
      <c r="G127" s="66">
        <v>1</v>
      </c>
      <c r="H127" s="67" t="s">
        <v>78</v>
      </c>
      <c r="I127" s="69">
        <f>I126*1.0408</f>
        <v>102487.94923920638</v>
      </c>
      <c r="J127" s="67" t="s">
        <v>41</v>
      </c>
      <c r="K127" s="66">
        <f t="shared" si="35"/>
        <v>102487.95</v>
      </c>
      <c r="L127" s="67" t="s">
        <v>41</v>
      </c>
      <c r="M127" s="70">
        <f t="shared" si="36"/>
        <v>102500</v>
      </c>
      <c r="N127" s="71" t="s">
        <v>37</v>
      </c>
      <c r="O127" s="70">
        <f t="shared" si="37"/>
        <v>102500</v>
      </c>
      <c r="P127" s="67"/>
      <c r="Q127" s="99"/>
      <c r="R127" s="71"/>
      <c r="S127" s="65"/>
      <c r="T127" s="477"/>
      <c r="U127" s="477"/>
      <c r="V127" s="477"/>
      <c r="W127" s="64"/>
      <c r="X127" s="54" t="str">
        <f t="shared" si="38"/>
        <v>1,0 шт. х 102487,95 руб. = 102 487,95 руб. = 102 500,00 руб.</v>
      </c>
    </row>
    <row r="128" spans="1:25" ht="96" customHeight="1" x14ac:dyDescent="0.25">
      <c r="A128" s="51" t="s">
        <v>16</v>
      </c>
      <c r="B128" s="116" t="s">
        <v>97</v>
      </c>
      <c r="C128" s="52"/>
      <c r="D128" s="53" t="s">
        <v>35</v>
      </c>
      <c r="E128" s="53" t="s">
        <v>35</v>
      </c>
      <c r="F128" s="423"/>
      <c r="G128" s="424"/>
      <c r="H128" s="424"/>
      <c r="I128" s="424"/>
      <c r="J128" s="424"/>
      <c r="K128" s="424"/>
      <c r="L128" s="424"/>
      <c r="M128" s="424"/>
      <c r="N128" s="424"/>
      <c r="O128" s="424"/>
      <c r="P128" s="424"/>
      <c r="Q128" s="424"/>
      <c r="R128" s="424"/>
      <c r="S128" s="424"/>
      <c r="T128" s="113">
        <f>SUM(T129,T133,T142,T147,T137)</f>
        <v>3339000</v>
      </c>
      <c r="U128" s="113">
        <f t="shared" ref="U128:V128" si="39">SUM(U129,U133,U142,U147,U137)</f>
        <v>3479400</v>
      </c>
      <c r="V128" s="113">
        <f t="shared" si="39"/>
        <v>3629600</v>
      </c>
      <c r="W128" s="52"/>
      <c r="X128" s="54" t="str">
        <f>"Нормативные "&amp;TEXT(B128,"0")&amp;" включают в себя:
нормативные "&amp;TEXT(B129,"0")&amp;";
нормативные "&amp;TEXT(B133,"0")&amp;"; нормативные "&amp;TEXT(B142,"0")&amp;";
нормативные "&amp;TEXT(B147,"0")&amp;""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канцелярских принадлежностей;
нормативные затраты на приобретение хозяйственных товаров и принадлежностей; нормативные затраты на приобретение шин для автомобиля;
нормативные затраты на приобретение масок медицинских одноразовых</v>
      </c>
    </row>
    <row r="129" spans="1:24" ht="85.5" customHeight="1" x14ac:dyDescent="0.25">
      <c r="A129" s="383" t="s">
        <v>17</v>
      </c>
      <c r="B129" s="617" t="s">
        <v>98</v>
      </c>
      <c r="C129" s="64"/>
      <c r="D129" s="619">
        <v>346</v>
      </c>
      <c r="E129" s="619">
        <v>244</v>
      </c>
      <c r="F129" s="380" t="s">
        <v>55</v>
      </c>
      <c r="G129" s="380"/>
      <c r="H129" s="380"/>
      <c r="I129" s="380"/>
      <c r="J129" s="380"/>
      <c r="K129" s="380"/>
      <c r="L129" s="380"/>
      <c r="M129" s="380"/>
      <c r="N129" s="380"/>
      <c r="O129" s="380"/>
      <c r="P129" s="380"/>
      <c r="Q129" s="380"/>
      <c r="R129" s="380"/>
      <c r="S129" s="65"/>
      <c r="T129" s="477">
        <f>M130</f>
        <v>2472200</v>
      </c>
      <c r="U129" s="477">
        <f>M131</f>
        <v>2578500</v>
      </c>
      <c r="V129" s="477">
        <f>M132</f>
        <v>2686700</v>
      </c>
      <c r="W129" s="64"/>
      <c r="X129" s="54" t="s">
        <v>56</v>
      </c>
    </row>
    <row r="130" spans="1:24" ht="21.75" customHeight="1" x14ac:dyDescent="0.25">
      <c r="A130" s="383"/>
      <c r="B130" s="618"/>
      <c r="C130" s="64"/>
      <c r="D130" s="437"/>
      <c r="E130" s="437"/>
      <c r="F130" s="68" t="s">
        <v>150</v>
      </c>
      <c r="G130" s="66">
        <v>213</v>
      </c>
      <c r="H130" s="67" t="s">
        <v>48</v>
      </c>
      <c r="I130" s="66">
        <v>11607</v>
      </c>
      <c r="J130" s="67" t="s">
        <v>41</v>
      </c>
      <c r="K130" s="66">
        <f>ROUND((G130*I130),2)</f>
        <v>2472291</v>
      </c>
      <c r="L130" s="67" t="s">
        <v>41</v>
      </c>
      <c r="M130" s="70">
        <f>ROUNDDOWN((K130),-2)</f>
        <v>2472200</v>
      </c>
      <c r="N130" s="71" t="s">
        <v>37</v>
      </c>
      <c r="O130" s="70">
        <f>ROUNDDOWN((M130),-2)</f>
        <v>2472200</v>
      </c>
      <c r="P130" s="67"/>
      <c r="Q130" s="67"/>
      <c r="R130" s="65"/>
      <c r="S130" s="65"/>
      <c r="T130" s="477"/>
      <c r="U130" s="477"/>
      <c r="V130" s="477"/>
      <c r="W130" s="64"/>
      <c r="X130" s="54" t="str">
        <f>""&amp;TEXT(G130,"000,00")&amp;" шт.ед. х норматив "&amp;TEXT(I130,"0 000,00")&amp;" руб. = "&amp;TEXT(K130,"0 000,00")&amp;" руб. = "&amp;TEXT(M130,"0 000,00")&amp;" руб."</f>
        <v>213,00 шт.ед. х норматив 11 607,00 руб. = 2 472 291,00 руб. = 2 472 200,00 руб.</v>
      </c>
    </row>
    <row r="131" spans="1:24" ht="18.75" customHeight="1" x14ac:dyDescent="0.25">
      <c r="A131" s="383"/>
      <c r="B131" s="618"/>
      <c r="C131" s="64"/>
      <c r="D131" s="437"/>
      <c r="E131" s="437"/>
      <c r="F131" s="68" t="s">
        <v>151</v>
      </c>
      <c r="G131" s="66">
        <v>213</v>
      </c>
      <c r="H131" s="67" t="s">
        <v>48</v>
      </c>
      <c r="I131" s="66">
        <v>12106</v>
      </c>
      <c r="J131" s="67" t="s">
        <v>41</v>
      </c>
      <c r="K131" s="66">
        <f t="shared" ref="K131:K132" si="40">ROUND((G131*I131),2)</f>
        <v>2578578</v>
      </c>
      <c r="L131" s="67" t="s">
        <v>41</v>
      </c>
      <c r="M131" s="70">
        <f t="shared" ref="M131:M132" si="41">ROUNDDOWN((K131),-2)</f>
        <v>2578500</v>
      </c>
      <c r="N131" s="71" t="s">
        <v>37</v>
      </c>
      <c r="O131" s="70">
        <f t="shared" ref="O131:O132" si="42">ROUNDDOWN((M131),-2)</f>
        <v>2578500</v>
      </c>
      <c r="P131" s="67"/>
      <c r="Q131" s="67"/>
      <c r="R131" s="65"/>
      <c r="S131" s="65"/>
      <c r="T131" s="477"/>
      <c r="U131" s="477"/>
      <c r="V131" s="477"/>
      <c r="W131" s="64"/>
      <c r="X131" s="54" t="str">
        <f>""&amp;TEXT(G131,"000,00")&amp;" шт.ед. х норматив "&amp;TEXT(I131,"0 000,00")&amp;" руб. = "&amp;TEXT(K131,"0 000,00")&amp;" руб. = "&amp;TEXT(M131,"0 000,00")&amp;" руб."</f>
        <v>213,00 шт.ед. х норматив 12 106,00 руб. = 2 578 578,00 руб. = 2 578 500,00 руб.</v>
      </c>
    </row>
    <row r="132" spans="1:24" ht="18.75" customHeight="1" x14ac:dyDescent="0.25">
      <c r="A132" s="383"/>
      <c r="B132" s="618"/>
      <c r="C132" s="64"/>
      <c r="D132" s="437"/>
      <c r="E132" s="437"/>
      <c r="F132" s="68" t="s">
        <v>193</v>
      </c>
      <c r="G132" s="66">
        <v>213</v>
      </c>
      <c r="H132" s="67" t="s">
        <v>48</v>
      </c>
      <c r="I132" s="66">
        <v>12614</v>
      </c>
      <c r="J132" s="67" t="s">
        <v>41</v>
      </c>
      <c r="K132" s="66">
        <f t="shared" si="40"/>
        <v>2686782</v>
      </c>
      <c r="L132" s="67" t="s">
        <v>41</v>
      </c>
      <c r="M132" s="70">
        <f t="shared" si="41"/>
        <v>2686700</v>
      </c>
      <c r="N132" s="71" t="s">
        <v>37</v>
      </c>
      <c r="O132" s="70">
        <f t="shared" si="42"/>
        <v>2686700</v>
      </c>
      <c r="P132" s="67"/>
      <c r="Q132" s="67"/>
      <c r="R132" s="65"/>
      <c r="S132" s="65"/>
      <c r="T132" s="477"/>
      <c r="U132" s="477"/>
      <c r="V132" s="477"/>
      <c r="W132" s="64"/>
      <c r="X132" s="54" t="str">
        <f>""&amp;TEXT(G132,"000,00")&amp;" шт.ед. х норматив "&amp;TEXT(I132,"0 000,00")&amp;" руб. = "&amp;TEXT(K132,"0 000,00")&amp;" руб. = "&amp;TEXT(M132,"0 000,00")&amp;" руб."</f>
        <v>213,00 шт.ед. х норматив 12 614,00 руб. = 2 686 782,00 руб. = 2 686 700,00 руб.</v>
      </c>
    </row>
    <row r="133" spans="1:24" ht="117.75" customHeight="1" x14ac:dyDescent="0.25">
      <c r="A133" s="383" t="s">
        <v>18</v>
      </c>
      <c r="B133" s="617" t="s">
        <v>99</v>
      </c>
      <c r="C133" s="64"/>
      <c r="D133" s="619">
        <v>346</v>
      </c>
      <c r="E133" s="619">
        <v>244</v>
      </c>
      <c r="F133" s="622" t="s">
        <v>57</v>
      </c>
      <c r="G133" s="622"/>
      <c r="H133" s="622"/>
      <c r="I133" s="622"/>
      <c r="J133" s="622"/>
      <c r="K133" s="622"/>
      <c r="L133" s="622"/>
      <c r="M133" s="622"/>
      <c r="N133" s="622"/>
      <c r="O133" s="622"/>
      <c r="P133" s="622"/>
      <c r="Q133" s="622"/>
      <c r="R133" s="622"/>
      <c r="S133" s="65"/>
      <c r="T133" s="477">
        <f>O134</f>
        <v>200100</v>
      </c>
      <c r="U133" s="477">
        <f>O135</f>
        <v>207000</v>
      </c>
      <c r="V133" s="477">
        <f>O136</f>
        <v>220800</v>
      </c>
      <c r="W133" s="64"/>
      <c r="X133" s="54" t="s">
        <v>58</v>
      </c>
    </row>
    <row r="134" spans="1:24" ht="19.5" customHeight="1" x14ac:dyDescent="0.25">
      <c r="A134" s="383"/>
      <c r="B134" s="618"/>
      <c r="C134" s="64"/>
      <c r="D134" s="621"/>
      <c r="E134" s="621"/>
      <c r="F134" s="68" t="s">
        <v>150</v>
      </c>
      <c r="G134" s="66">
        <v>1150.5</v>
      </c>
      <c r="H134" s="67" t="s">
        <v>59</v>
      </c>
      <c r="I134" s="66">
        <v>14.5</v>
      </c>
      <c r="J134" s="67" t="s">
        <v>49</v>
      </c>
      <c r="K134" s="66">
        <v>12</v>
      </c>
      <c r="L134" s="67" t="s">
        <v>50</v>
      </c>
      <c r="M134" s="66">
        <f>ROUND((G134*I134*K134),2)</f>
        <v>200187</v>
      </c>
      <c r="N134" s="67" t="s">
        <v>41</v>
      </c>
      <c r="O134" s="70">
        <f>ROUNDDOWN((M134),-2)</f>
        <v>200100</v>
      </c>
      <c r="P134" s="71" t="s">
        <v>37</v>
      </c>
      <c r="Q134" s="67"/>
      <c r="R134" s="65"/>
      <c r="S134" s="65"/>
      <c r="T134" s="477"/>
      <c r="U134" s="477"/>
      <c r="V134" s="477"/>
      <c r="W134" s="64"/>
      <c r="X134" s="54" t="str">
        <f>""&amp;TEXT(G134,"0 000,00")&amp;" кв.м. х норматив "&amp;TEXT(I134,"0,00")&amp;" руб. х "&amp;TEXT(K134,"00,0")&amp;" мес.  = "&amp;TEXT(M134,"0 000,00")&amp;" руб. = "&amp;TEXT(O134,"0 000,00")&amp;" руб."</f>
        <v>1 150,50 кв.м. х норматив 14,50 руб. х 12,0 мес.  = 200 187,00 руб. = 200 100,00 руб.</v>
      </c>
    </row>
    <row r="135" spans="1:24" ht="19.5" customHeight="1" x14ac:dyDescent="0.25">
      <c r="A135" s="383"/>
      <c r="B135" s="618"/>
      <c r="C135" s="64"/>
      <c r="D135" s="621"/>
      <c r="E135" s="621"/>
      <c r="F135" s="68" t="s">
        <v>151</v>
      </c>
      <c r="G135" s="66">
        <f>G134</f>
        <v>1150.5</v>
      </c>
      <c r="H135" s="67" t="s">
        <v>59</v>
      </c>
      <c r="I135" s="66">
        <v>15</v>
      </c>
      <c r="J135" s="67" t="s">
        <v>49</v>
      </c>
      <c r="K135" s="66">
        <v>12</v>
      </c>
      <c r="L135" s="67" t="s">
        <v>50</v>
      </c>
      <c r="M135" s="66">
        <f t="shared" ref="M135:M136" si="43">ROUND((G135*I135*K135),2)</f>
        <v>207090</v>
      </c>
      <c r="N135" s="67" t="s">
        <v>41</v>
      </c>
      <c r="O135" s="70">
        <f t="shared" ref="O135:O136" si="44">ROUNDDOWN((M135),-2)</f>
        <v>207000</v>
      </c>
      <c r="P135" s="71" t="s">
        <v>37</v>
      </c>
      <c r="Q135" s="67"/>
      <c r="R135" s="65"/>
      <c r="S135" s="65"/>
      <c r="T135" s="477"/>
      <c r="U135" s="477"/>
      <c r="V135" s="477"/>
      <c r="W135" s="64"/>
      <c r="X135" s="54" t="str">
        <f>""&amp;TEXT(G135,"0 000,00")&amp;" кв.м. х норматив "&amp;TEXT(I135,"0,00")&amp;" руб. х "&amp;TEXT(K135,"00,0")&amp;" мес.  = "&amp;TEXT(M135,"0 000,00")&amp;" руб. = "&amp;TEXT(O135,"0 000,00")&amp;" руб."</f>
        <v>1 150,50 кв.м. х норматив 15,00 руб. х 12,0 мес.  = 207 090,00 руб. = 207 000,00 руб.</v>
      </c>
    </row>
    <row r="136" spans="1:24" ht="19.5" customHeight="1" x14ac:dyDescent="0.25">
      <c r="A136" s="383"/>
      <c r="B136" s="618"/>
      <c r="C136" s="64"/>
      <c r="D136" s="621"/>
      <c r="E136" s="621"/>
      <c r="F136" s="68" t="s">
        <v>193</v>
      </c>
      <c r="G136" s="66">
        <f>G135</f>
        <v>1150.5</v>
      </c>
      <c r="H136" s="67" t="s">
        <v>59</v>
      </c>
      <c r="I136" s="66">
        <v>16</v>
      </c>
      <c r="J136" s="67" t="s">
        <v>49</v>
      </c>
      <c r="K136" s="66">
        <v>12</v>
      </c>
      <c r="L136" s="67" t="s">
        <v>50</v>
      </c>
      <c r="M136" s="66">
        <f t="shared" si="43"/>
        <v>220896</v>
      </c>
      <c r="N136" s="67" t="s">
        <v>41</v>
      </c>
      <c r="O136" s="70">
        <f t="shared" si="44"/>
        <v>220800</v>
      </c>
      <c r="P136" s="71" t="s">
        <v>37</v>
      </c>
      <c r="Q136" s="67"/>
      <c r="R136" s="65"/>
      <c r="S136" s="65"/>
      <c r="T136" s="477"/>
      <c r="U136" s="477"/>
      <c r="V136" s="477"/>
      <c r="W136" s="64"/>
      <c r="X136" s="54" t="str">
        <f>""&amp;TEXT(G136,"0 000,00")&amp;" кв.м. х норматив "&amp;TEXT(I136,"0,00")&amp;" руб. х "&amp;TEXT(K136,"00,0")&amp;" мес.  = "&amp;TEXT(M136,"0 000,00")&amp;" руб. = "&amp;TEXT(O136,"0 000,00")&amp;" руб."</f>
        <v>1 150,50 кв.м. х норматив 16,00 руб. х 12,0 мес.  = 220 896,00 руб. = 220 800,00 руб.</v>
      </c>
    </row>
    <row r="137" spans="1:24" ht="90" x14ac:dyDescent="0.25">
      <c r="A137" s="383" t="s">
        <v>26</v>
      </c>
      <c r="B137" s="617" t="s">
        <v>100</v>
      </c>
      <c r="C137" s="64"/>
      <c r="D137" s="619">
        <v>343</v>
      </c>
      <c r="E137" s="619">
        <v>244</v>
      </c>
      <c r="F137" s="380" t="s">
        <v>182</v>
      </c>
      <c r="G137" s="380"/>
      <c r="H137" s="380"/>
      <c r="I137" s="380"/>
      <c r="J137" s="380"/>
      <c r="K137" s="380"/>
      <c r="L137" s="380"/>
      <c r="M137" s="380"/>
      <c r="N137" s="380"/>
      <c r="O137" s="380"/>
      <c r="P137" s="380"/>
      <c r="Q137" s="380"/>
      <c r="R137" s="380"/>
      <c r="S137" s="65"/>
      <c r="T137" s="477">
        <v>62800</v>
      </c>
      <c r="U137" s="477">
        <v>65400</v>
      </c>
      <c r="V137" s="477">
        <v>68000</v>
      </c>
      <c r="W137" s="64"/>
      <c r="X137" s="54" t="s">
        <v>76</v>
      </c>
    </row>
    <row r="138" spans="1:24" ht="15" customHeight="1" outlineLevel="1" x14ac:dyDescent="0.25">
      <c r="A138" s="383"/>
      <c r="B138" s="618"/>
      <c r="C138" s="64"/>
      <c r="D138" s="437"/>
      <c r="E138" s="620"/>
      <c r="F138" s="61"/>
      <c r="G138" s="66">
        <v>1000</v>
      </c>
      <c r="H138" s="67" t="s">
        <v>75</v>
      </c>
      <c r="I138" s="66"/>
      <c r="J138" s="67" t="s">
        <v>41</v>
      </c>
      <c r="K138" s="66">
        <f>ROUND((G138*I138),2)</f>
        <v>0</v>
      </c>
      <c r="L138" s="67" t="s">
        <v>37</v>
      </c>
      <c r="M138" s="67"/>
      <c r="N138" s="67"/>
      <c r="O138" s="67"/>
      <c r="P138" s="67"/>
      <c r="Q138" s="67"/>
      <c r="R138" s="65"/>
      <c r="S138" s="65"/>
      <c r="T138" s="477"/>
      <c r="U138" s="477"/>
      <c r="V138" s="477"/>
      <c r="W138" s="64"/>
      <c r="X138" s="54"/>
    </row>
    <row r="139" spans="1:24" ht="18.75" customHeight="1" x14ac:dyDescent="0.25">
      <c r="A139" s="383"/>
      <c r="B139" s="618"/>
      <c r="C139" s="64"/>
      <c r="D139" s="437"/>
      <c r="E139" s="620"/>
      <c r="F139" s="68" t="s">
        <v>150</v>
      </c>
      <c r="G139" s="66">
        <v>1000</v>
      </c>
      <c r="H139" s="65" t="s">
        <v>195</v>
      </c>
      <c r="I139" s="69">
        <v>62.76</v>
      </c>
      <c r="J139" s="67" t="s">
        <v>41</v>
      </c>
      <c r="K139" s="66">
        <f>ROUND((G139*I139),2)</f>
        <v>62760</v>
      </c>
      <c r="L139" s="67" t="s">
        <v>41</v>
      </c>
      <c r="M139" s="70">
        <f>ROUNDUP((K139),-2)</f>
        <v>62800</v>
      </c>
      <c r="N139" s="71" t="s">
        <v>37</v>
      </c>
      <c r="O139" s="70">
        <f>ROUNDUP((M139),-2)</f>
        <v>62800</v>
      </c>
      <c r="P139" s="72"/>
      <c r="Q139" s="72"/>
      <c r="R139" s="72"/>
      <c r="S139" s="65"/>
      <c r="T139" s="477"/>
      <c r="U139" s="477"/>
      <c r="V139" s="477"/>
      <c r="W139" s="64"/>
      <c r="X139" s="54" t="str">
        <f>""&amp;TEXT(G139,"0,0")&amp;" л. х "&amp;TEXT(ROUND((K139/$G$148),2),"0,00")&amp;" руб. = "&amp;TEXT(ROUND(($G$148*(ROUND((K139/$G$148),2))),2),"0 000,00")&amp;" руб. = "&amp;TEXT(M139,"0 000,00")&amp;" руб."</f>
        <v>1000,0 л. х 62,76 руб. = 62 760,00 руб. = 62 800,00 руб.</v>
      </c>
    </row>
    <row r="140" spans="1:24" ht="18.75" customHeight="1" x14ac:dyDescent="0.25">
      <c r="A140" s="383"/>
      <c r="B140" s="618"/>
      <c r="C140" s="64"/>
      <c r="D140" s="437"/>
      <c r="E140" s="620"/>
      <c r="F140" s="68" t="s">
        <v>151</v>
      </c>
      <c r="G140" s="66">
        <f>G139</f>
        <v>1000</v>
      </c>
      <c r="H140" s="67" t="str">
        <f>H139</f>
        <v xml:space="preserve">руб. х индекс потребительских цен </v>
      </c>
      <c r="I140" s="69">
        <v>65.319999999999993</v>
      </c>
      <c r="J140" s="67" t="s">
        <v>41</v>
      </c>
      <c r="K140" s="66">
        <f t="shared" ref="K140:K141" si="45">ROUND((G140*I140),2)</f>
        <v>65320</v>
      </c>
      <c r="L140" s="67" t="s">
        <v>41</v>
      </c>
      <c r="M140" s="70">
        <f t="shared" ref="M140:M141" si="46">ROUNDUP((K140),-2)</f>
        <v>65400</v>
      </c>
      <c r="N140" s="67" t="s">
        <v>41</v>
      </c>
      <c r="O140" s="70">
        <f>ROUNDUP((M140),-2)</f>
        <v>65400</v>
      </c>
      <c r="P140" s="71" t="s">
        <v>37</v>
      </c>
      <c r="Q140" s="72"/>
      <c r="R140" s="72"/>
      <c r="S140" s="65"/>
      <c r="T140" s="477"/>
      <c r="U140" s="477"/>
      <c r="V140" s="477"/>
      <c r="W140" s="64"/>
      <c r="X140" s="54" t="str">
        <f>""&amp;TEXT(G140,"0,0")&amp;" л. х "&amp;TEXT(ROUND((K140/$G$148),2),"0,00")&amp;" руб. = "&amp;TEXT(ROUND(($G$148*(ROUND((K140/$G$148),2))),2),"0 000,00")&amp;" руб. = "&amp;TEXT(M140,"0 000,00")&amp;" руб."</f>
        <v>1000,0 л. х 65,32 руб. = 65 320,00 руб. = 65 400,00 руб.</v>
      </c>
    </row>
    <row r="141" spans="1:24" ht="18.75" customHeight="1" x14ac:dyDescent="0.25">
      <c r="A141" s="383"/>
      <c r="B141" s="618"/>
      <c r="C141" s="64"/>
      <c r="D141" s="437"/>
      <c r="E141" s="620"/>
      <c r="F141" s="68" t="s">
        <v>193</v>
      </c>
      <c r="G141" s="66">
        <f>G140</f>
        <v>1000</v>
      </c>
      <c r="H141" s="67" t="str">
        <f>H139</f>
        <v xml:space="preserve">руб. х индекс потребительских цен </v>
      </c>
      <c r="I141" s="69">
        <f>I140*1.0408</f>
        <v>67.985055999999986</v>
      </c>
      <c r="J141" s="67" t="s">
        <v>41</v>
      </c>
      <c r="K141" s="66">
        <f t="shared" si="45"/>
        <v>67985.06</v>
      </c>
      <c r="L141" s="67" t="s">
        <v>41</v>
      </c>
      <c r="M141" s="70">
        <f t="shared" si="46"/>
        <v>68000</v>
      </c>
      <c r="N141" s="67" t="s">
        <v>25</v>
      </c>
      <c r="O141" s="70">
        <f>ROUNDUP((M141),-2)</f>
        <v>68000</v>
      </c>
      <c r="P141" s="67" t="s">
        <v>41</v>
      </c>
      <c r="Q141" s="70">
        <f>ROUNDUP((O141),-2)</f>
        <v>68000</v>
      </c>
      <c r="R141" s="71" t="s">
        <v>37</v>
      </c>
      <c r="S141" s="65"/>
      <c r="T141" s="478"/>
      <c r="U141" s="478"/>
      <c r="V141" s="478"/>
      <c r="W141" s="64"/>
      <c r="X141" s="54" t="str">
        <f>""&amp;TEXT(G141,"0,0")&amp;" л. х "&amp;TEXT(ROUND((K141/$G$148),2),"0,00")&amp;" руб. = "&amp;TEXT(ROUND(($G$148*(ROUND((K141/$G$148),2))),2),"0 000,00")&amp;" руб. = "&amp;TEXT(M141,"0 000,00")&amp;" руб."</f>
        <v>1000,0 л. х 67,99 руб. = 67 990,00 руб. = 68 000,00 руб.</v>
      </c>
    </row>
    <row r="142" spans="1:24" ht="90" x14ac:dyDescent="0.25">
      <c r="A142" s="383" t="s">
        <v>200</v>
      </c>
      <c r="B142" s="617" t="s">
        <v>219</v>
      </c>
      <c r="C142" s="64"/>
      <c r="D142" s="619">
        <v>346</v>
      </c>
      <c r="E142" s="619">
        <v>244</v>
      </c>
      <c r="F142" s="380" t="s">
        <v>182</v>
      </c>
      <c r="G142" s="380"/>
      <c r="H142" s="380"/>
      <c r="I142" s="380"/>
      <c r="J142" s="380"/>
      <c r="K142" s="380"/>
      <c r="L142" s="380"/>
      <c r="M142" s="380"/>
      <c r="N142" s="380"/>
      <c r="O142" s="380"/>
      <c r="P142" s="380"/>
      <c r="Q142" s="380"/>
      <c r="R142" s="380"/>
      <c r="S142" s="65"/>
      <c r="T142" s="477">
        <f>M144</f>
        <v>19800</v>
      </c>
      <c r="U142" s="477">
        <f>M145</f>
        <v>20600</v>
      </c>
      <c r="V142" s="477">
        <f>M146</f>
        <v>21400</v>
      </c>
      <c r="W142" s="64"/>
      <c r="X142" s="54" t="s">
        <v>220</v>
      </c>
    </row>
    <row r="143" spans="1:24" ht="15" customHeight="1" outlineLevel="1" x14ac:dyDescent="0.25">
      <c r="A143" s="383"/>
      <c r="B143" s="618"/>
      <c r="C143" s="64"/>
      <c r="D143" s="437"/>
      <c r="E143" s="620"/>
      <c r="F143" s="61"/>
      <c r="G143" s="66"/>
      <c r="H143" s="67" t="s">
        <v>48</v>
      </c>
      <c r="I143" s="66"/>
      <c r="J143" s="67" t="s">
        <v>41</v>
      </c>
      <c r="K143" s="66">
        <f>ROUND((G143*I143),2)</f>
        <v>0</v>
      </c>
      <c r="L143" s="67" t="s">
        <v>37</v>
      </c>
      <c r="M143" s="67"/>
      <c r="N143" s="67"/>
      <c r="O143" s="67"/>
      <c r="P143" s="67"/>
      <c r="Q143" s="67"/>
      <c r="R143" s="65"/>
      <c r="S143" s="65"/>
      <c r="T143" s="477"/>
      <c r="U143" s="477"/>
      <c r="V143" s="477"/>
      <c r="W143" s="64"/>
      <c r="X143" s="54"/>
    </row>
    <row r="144" spans="1:24" ht="17.25" customHeight="1" x14ac:dyDescent="0.25">
      <c r="A144" s="383"/>
      <c r="B144" s="618"/>
      <c r="C144" s="64"/>
      <c r="D144" s="437"/>
      <c r="E144" s="620"/>
      <c r="F144" s="68" t="s">
        <v>150</v>
      </c>
      <c r="G144" s="66">
        <v>4</v>
      </c>
      <c r="H144" s="65" t="s">
        <v>195</v>
      </c>
      <c r="I144" s="69">
        <v>19720</v>
      </c>
      <c r="J144" s="67" t="s">
        <v>41</v>
      </c>
      <c r="K144" s="66">
        <f>I144/G144</f>
        <v>4930</v>
      </c>
      <c r="L144" s="67" t="s">
        <v>41</v>
      </c>
      <c r="M144" s="70">
        <f>ROUNDUP((I144),-2)</f>
        <v>19800</v>
      </c>
      <c r="N144" s="71" t="s">
        <v>37</v>
      </c>
      <c r="O144" s="70"/>
      <c r="P144" s="72"/>
      <c r="Q144" s="72"/>
      <c r="R144" s="72"/>
      <c r="S144" s="65"/>
      <c r="T144" s="477"/>
      <c r="U144" s="477"/>
      <c r="V144" s="477"/>
      <c r="W144" s="64"/>
      <c r="X144" s="54" t="str">
        <f>""&amp;TEXT(G144,"0,0")&amp;" шт. х "&amp;TEXT(ROUND((K144),2),"0,00")&amp;" руб. = "&amp;TEXT(ROUND((I144),2),"0 000,00")&amp;" руб. = "&amp;TEXT(M144,"0 000,00")&amp;" руб."</f>
        <v>4,0 шт. х 4930,00 руб. = 19 720,00 руб. = 19 800,00 руб.</v>
      </c>
    </row>
    <row r="145" spans="1:24" ht="17.25" customHeight="1" x14ac:dyDescent="0.25">
      <c r="A145" s="383"/>
      <c r="B145" s="618"/>
      <c r="C145" s="64"/>
      <c r="D145" s="437"/>
      <c r="E145" s="620"/>
      <c r="F145" s="68" t="s">
        <v>151</v>
      </c>
      <c r="G145" s="66">
        <v>4</v>
      </c>
      <c r="H145" s="67" t="str">
        <f>H144</f>
        <v xml:space="preserve">руб. х индекс потребительских цен </v>
      </c>
      <c r="I145" s="69">
        <f>I144*1.0408</f>
        <v>20524.575999999997</v>
      </c>
      <c r="J145" s="67" t="s">
        <v>41</v>
      </c>
      <c r="K145" s="66">
        <f t="shared" ref="K145:K146" si="47">I145/G145</f>
        <v>5131.1439999999993</v>
      </c>
      <c r="L145" s="67" t="s">
        <v>41</v>
      </c>
      <c r="M145" s="70">
        <f t="shared" ref="M145:M146" si="48">ROUNDUP((I145),-2)</f>
        <v>20600</v>
      </c>
      <c r="N145" s="67" t="s">
        <v>41</v>
      </c>
      <c r="O145" s="70"/>
      <c r="P145" s="71" t="s">
        <v>37</v>
      </c>
      <c r="Q145" s="72"/>
      <c r="R145" s="72"/>
      <c r="S145" s="65"/>
      <c r="T145" s="477"/>
      <c r="U145" s="477"/>
      <c r="V145" s="477"/>
      <c r="W145" s="64"/>
      <c r="X145" s="54" t="str">
        <f t="shared" ref="X145:X146" si="49">""&amp;TEXT(G145,"0,0")&amp;" шт. х "&amp;TEXT(ROUND((K145),2),"0,00")&amp;" руб. = "&amp;TEXT(ROUND((I145),2),"0 000,00")&amp;" руб. = "&amp;TEXT(M145,"0 000,00")&amp;" руб."</f>
        <v>4,0 шт. х 5131,14 руб. = 20 524,58 руб. = 20 600,00 руб.</v>
      </c>
    </row>
    <row r="146" spans="1:24" ht="23.25" customHeight="1" x14ac:dyDescent="0.25">
      <c r="A146" s="383"/>
      <c r="B146" s="618"/>
      <c r="C146" s="64"/>
      <c r="D146" s="437"/>
      <c r="E146" s="620"/>
      <c r="F146" s="68" t="s">
        <v>193</v>
      </c>
      <c r="G146" s="66">
        <v>4</v>
      </c>
      <c r="H146" s="67" t="str">
        <f>H144</f>
        <v xml:space="preserve">руб. х индекс потребительских цен </v>
      </c>
      <c r="I146" s="69">
        <f>I145*1.0408</f>
        <v>21361.978700799995</v>
      </c>
      <c r="J146" s="67" t="s">
        <v>41</v>
      </c>
      <c r="K146" s="66">
        <f t="shared" si="47"/>
        <v>5340.4946751999987</v>
      </c>
      <c r="L146" s="67" t="s">
        <v>41</v>
      </c>
      <c r="M146" s="70">
        <f t="shared" si="48"/>
        <v>21400</v>
      </c>
      <c r="N146" s="67" t="s">
        <v>25</v>
      </c>
      <c r="O146" s="70"/>
      <c r="P146" s="67" t="s">
        <v>41</v>
      </c>
      <c r="Q146" s="70">
        <f>ROUNDUP((O146),-2)</f>
        <v>0</v>
      </c>
      <c r="R146" s="71" t="s">
        <v>37</v>
      </c>
      <c r="S146" s="65"/>
      <c r="T146" s="478"/>
      <c r="U146" s="478"/>
      <c r="V146" s="478"/>
      <c r="W146" s="64"/>
      <c r="X146" s="54" t="str">
        <f t="shared" si="49"/>
        <v>4,0 шт. х 5340,49 руб. = 21 361,98 руб. = 21 400,00 руб.</v>
      </c>
    </row>
    <row r="147" spans="1:24" ht="90" x14ac:dyDescent="0.25">
      <c r="A147" s="383" t="s">
        <v>213</v>
      </c>
      <c r="B147" s="617" t="s">
        <v>214</v>
      </c>
      <c r="C147" s="64"/>
      <c r="D147" s="619">
        <v>346</v>
      </c>
      <c r="E147" s="619">
        <v>244</v>
      </c>
      <c r="F147" s="380" t="s">
        <v>182</v>
      </c>
      <c r="G147" s="380"/>
      <c r="H147" s="380"/>
      <c r="I147" s="380"/>
      <c r="J147" s="380"/>
      <c r="K147" s="380"/>
      <c r="L147" s="380"/>
      <c r="M147" s="380"/>
      <c r="N147" s="380"/>
      <c r="O147" s="380"/>
      <c r="P147" s="380"/>
      <c r="Q147" s="380"/>
      <c r="R147" s="380"/>
      <c r="S147" s="65"/>
      <c r="T147" s="477">
        <f>M149</f>
        <v>584100</v>
      </c>
      <c r="U147" s="477">
        <f>M150</f>
        <v>607900</v>
      </c>
      <c r="V147" s="477">
        <f>M151</f>
        <v>632700</v>
      </c>
      <c r="W147" s="64"/>
      <c r="X147" s="54" t="s">
        <v>215</v>
      </c>
    </row>
    <row r="148" spans="1:24" ht="15" customHeight="1" outlineLevel="1" x14ac:dyDescent="0.25">
      <c r="A148" s="383"/>
      <c r="B148" s="618"/>
      <c r="C148" s="64"/>
      <c r="D148" s="437"/>
      <c r="E148" s="620"/>
      <c r="F148" s="61"/>
      <c r="G148" s="66">
        <v>1000</v>
      </c>
      <c r="H148" s="67" t="s">
        <v>48</v>
      </c>
      <c r="I148" s="66"/>
      <c r="J148" s="67" t="s">
        <v>41</v>
      </c>
      <c r="K148" s="66">
        <f>ROUND((G148*I148),2)</f>
        <v>0</v>
      </c>
      <c r="L148" s="67" t="s">
        <v>37</v>
      </c>
      <c r="M148" s="67"/>
      <c r="N148" s="67"/>
      <c r="O148" s="67"/>
      <c r="P148" s="67"/>
      <c r="Q148" s="67"/>
      <c r="R148" s="65"/>
      <c r="S148" s="65"/>
      <c r="T148" s="477"/>
      <c r="U148" s="477"/>
      <c r="V148" s="477"/>
      <c r="W148" s="64"/>
      <c r="X148" s="54"/>
    </row>
    <row r="149" spans="1:24" ht="24.75" customHeight="1" x14ac:dyDescent="0.25">
      <c r="A149" s="383"/>
      <c r="B149" s="618"/>
      <c r="C149" s="64"/>
      <c r="D149" s="437"/>
      <c r="E149" s="620"/>
      <c r="F149" s="68" t="s">
        <v>150</v>
      </c>
      <c r="G149" s="66">
        <v>13500</v>
      </c>
      <c r="H149" s="65" t="s">
        <v>195</v>
      </c>
      <c r="I149" s="69">
        <v>43.26</v>
      </c>
      <c r="J149" s="67" t="s">
        <v>41</v>
      </c>
      <c r="K149" s="66">
        <f>ROUND((G149*I149),2)</f>
        <v>584010</v>
      </c>
      <c r="L149" s="67" t="s">
        <v>41</v>
      </c>
      <c r="M149" s="70">
        <f>ROUNDUP((K149),-2)</f>
        <v>584100</v>
      </c>
      <c r="N149" s="71" t="s">
        <v>37</v>
      </c>
      <c r="O149" s="70">
        <f>ROUNDUP((M149),-2)</f>
        <v>584100</v>
      </c>
      <c r="P149" s="72"/>
      <c r="Q149" s="72"/>
      <c r="R149" s="72"/>
      <c r="S149" s="65"/>
      <c r="T149" s="477"/>
      <c r="U149" s="477"/>
      <c r="V149" s="477"/>
      <c r="W149" s="64"/>
      <c r="X149" s="54" t="str">
        <f>""&amp;TEXT(G149,"0,0")&amp;" шт. х "&amp;TEXT(ROUND((I149),2),"0,00")&amp;" руб. = "&amp;TEXT(ROUND((K149),2),"0 000,00")&amp;" руб. = "&amp;TEXT(M149,"0 000,00")&amp;" руб."</f>
        <v>13500,0 шт. х 43,26 руб. = 584 010,00 руб. = 584 100,00 руб.</v>
      </c>
    </row>
    <row r="150" spans="1:24" ht="24.75" customHeight="1" x14ac:dyDescent="0.25">
      <c r="A150" s="383"/>
      <c r="B150" s="618"/>
      <c r="C150" s="64"/>
      <c r="D150" s="437"/>
      <c r="E150" s="620"/>
      <c r="F150" s="68" t="s">
        <v>151</v>
      </c>
      <c r="G150" s="66">
        <f>G149</f>
        <v>13500</v>
      </c>
      <c r="H150" s="67" t="str">
        <f>H149</f>
        <v xml:space="preserve">руб. х индекс потребительских цен </v>
      </c>
      <c r="I150" s="69">
        <f>I149*1.0408</f>
        <v>45.025007999999993</v>
      </c>
      <c r="J150" s="67" t="s">
        <v>41</v>
      </c>
      <c r="K150" s="66">
        <f t="shared" ref="K150:K151" si="50">ROUND((G150*I150),2)</f>
        <v>607837.61</v>
      </c>
      <c r="L150" s="67" t="s">
        <v>41</v>
      </c>
      <c r="M150" s="70">
        <f t="shared" ref="M150:M151" si="51">ROUNDUP((K150),-2)</f>
        <v>607900</v>
      </c>
      <c r="N150" s="67" t="s">
        <v>41</v>
      </c>
      <c r="O150" s="70">
        <f>ROUNDUP((M150),-2)</f>
        <v>607900</v>
      </c>
      <c r="P150" s="71" t="s">
        <v>37</v>
      </c>
      <c r="Q150" s="72"/>
      <c r="R150" s="72"/>
      <c r="S150" s="65"/>
      <c r="T150" s="477"/>
      <c r="U150" s="477"/>
      <c r="V150" s="477"/>
      <c r="W150" s="64"/>
      <c r="X150" s="54" t="str">
        <f t="shared" ref="X150:X151" si="52">""&amp;TEXT(G150,"0,0")&amp;" шт. х "&amp;TEXT(ROUND((I150),2),"0,00")&amp;" руб. = "&amp;TEXT(ROUND((K150),2),"0 000,00")&amp;" руб. = "&amp;TEXT(M150,"0 000,00")&amp;" руб."</f>
        <v>13500,0 шт. х 45,03 руб. = 607 837,61 руб. = 607 900,00 руб.</v>
      </c>
    </row>
    <row r="151" spans="1:24" ht="24.75" customHeight="1" x14ac:dyDescent="0.25">
      <c r="A151" s="383"/>
      <c r="B151" s="618"/>
      <c r="C151" s="64"/>
      <c r="D151" s="437"/>
      <c r="E151" s="620"/>
      <c r="F151" s="68" t="s">
        <v>193</v>
      </c>
      <c r="G151" s="66">
        <f>G150</f>
        <v>13500</v>
      </c>
      <c r="H151" s="67" t="str">
        <f>H149</f>
        <v xml:space="preserve">руб. х индекс потребительских цен </v>
      </c>
      <c r="I151" s="69">
        <f>I150*1.0408</f>
        <v>46.862028326399987</v>
      </c>
      <c r="J151" s="67" t="s">
        <v>41</v>
      </c>
      <c r="K151" s="66">
        <f t="shared" si="50"/>
        <v>632637.38</v>
      </c>
      <c r="L151" s="67" t="s">
        <v>41</v>
      </c>
      <c r="M151" s="70">
        <f t="shared" si="51"/>
        <v>632700</v>
      </c>
      <c r="N151" s="67" t="s">
        <v>25</v>
      </c>
      <c r="O151" s="70">
        <f>ROUNDUP((M151),-2)</f>
        <v>632700</v>
      </c>
      <c r="P151" s="67" t="s">
        <v>41</v>
      </c>
      <c r="Q151" s="70">
        <f>ROUNDUP((O151),-2)</f>
        <v>632700</v>
      </c>
      <c r="R151" s="71" t="s">
        <v>37</v>
      </c>
      <c r="S151" s="65"/>
      <c r="T151" s="478"/>
      <c r="U151" s="478"/>
      <c r="V151" s="478"/>
      <c r="W151" s="64"/>
      <c r="X151" s="54" t="str">
        <f t="shared" si="52"/>
        <v>13500,0 шт. х 46,86 руб. = 632 637,38 руб. = 632 700,00 руб.</v>
      </c>
    </row>
    <row r="152" spans="1:24" ht="60" x14ac:dyDescent="0.25">
      <c r="A152" s="51" t="s">
        <v>19</v>
      </c>
      <c r="B152" s="116" t="s">
        <v>93</v>
      </c>
      <c r="C152" s="52"/>
      <c r="D152" s="53" t="s">
        <v>35</v>
      </c>
      <c r="E152" s="53" t="s">
        <v>35</v>
      </c>
      <c r="F152" s="423"/>
      <c r="G152" s="424"/>
      <c r="H152" s="424"/>
      <c r="I152" s="424"/>
      <c r="J152" s="424"/>
      <c r="K152" s="424"/>
      <c r="L152" s="424"/>
      <c r="M152" s="424"/>
      <c r="N152" s="424"/>
      <c r="O152" s="424"/>
      <c r="P152" s="424"/>
      <c r="Q152" s="424"/>
      <c r="R152" s="424"/>
      <c r="S152" s="424"/>
      <c r="T152" s="113">
        <f>SUM(T168,T153,T158,T163)</f>
        <v>3441100</v>
      </c>
      <c r="U152" s="113">
        <f>SUM(U168,U153,U158,U163)</f>
        <v>3581600</v>
      </c>
      <c r="V152" s="113">
        <f>SUM(V168,V153,V158,V163)</f>
        <v>3727700</v>
      </c>
      <c r="W152" s="52"/>
      <c r="X152" s="54" t="str">
        <f>"Нормативные "&amp;TEXT(B152,"0")&amp;" включают в себя:
нормативные "&amp;TEXT(B153,"0")&amp;";
нормативные "&amp;TEXT(B158,"0")&amp;";
нормативные "&amp;TEXT(B163,"0")&amp;"; нормативные "&amp;TEXT(B168,"0")&amp;""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
нормативные затраты на оказание услуг по обучению персрнала;
нормативные затраты на оказание нотариальных услуг; нормативные затраты на оказание архивных услуг по переплету документов</v>
      </c>
    </row>
    <row r="153" spans="1:24" ht="102" customHeight="1" x14ac:dyDescent="0.25">
      <c r="A153" s="383" t="s">
        <v>20</v>
      </c>
      <c r="B153" s="617" t="s">
        <v>189</v>
      </c>
      <c r="C153" s="64"/>
      <c r="D153" s="619">
        <v>226</v>
      </c>
      <c r="E153" s="619">
        <v>244</v>
      </c>
      <c r="F153" s="380" t="s">
        <v>182</v>
      </c>
      <c r="G153" s="380"/>
      <c r="H153" s="380"/>
      <c r="I153" s="380"/>
      <c r="J153" s="380"/>
      <c r="K153" s="380"/>
      <c r="L153" s="380"/>
      <c r="M153" s="380"/>
      <c r="N153" s="380"/>
      <c r="O153" s="380"/>
      <c r="P153" s="380"/>
      <c r="Q153" s="380"/>
      <c r="R153" s="380"/>
      <c r="S153" s="65"/>
      <c r="T153" s="477">
        <f>M155</f>
        <v>423800</v>
      </c>
      <c r="U153" s="477">
        <f>M156</f>
        <v>441100</v>
      </c>
      <c r="V153" s="477">
        <f>M157</f>
        <v>459100</v>
      </c>
      <c r="W153" s="64"/>
      <c r="X153" s="54" t="s">
        <v>210</v>
      </c>
    </row>
    <row r="154" spans="1:24" ht="18" customHeight="1" outlineLevel="1" x14ac:dyDescent="0.25">
      <c r="A154" s="437"/>
      <c r="B154" s="618"/>
      <c r="C154" s="64"/>
      <c r="D154" s="437"/>
      <c r="E154" s="620"/>
      <c r="F154" s="61"/>
      <c r="G154" s="66">
        <v>93</v>
      </c>
      <c r="H154" s="67" t="s">
        <v>60</v>
      </c>
      <c r="I154" s="66"/>
      <c r="J154" s="67" t="s">
        <v>41</v>
      </c>
      <c r="K154" s="66">
        <f>ROUND((G154*I154),2)</f>
        <v>0</v>
      </c>
      <c r="L154" s="67" t="s">
        <v>37</v>
      </c>
      <c r="M154" s="67"/>
      <c r="N154" s="67"/>
      <c r="O154" s="67"/>
      <c r="P154" s="67"/>
      <c r="Q154" s="67"/>
      <c r="R154" s="65"/>
      <c r="S154" s="65"/>
      <c r="T154" s="477"/>
      <c r="U154" s="477"/>
      <c r="V154" s="477"/>
      <c r="W154" s="64"/>
      <c r="X154" s="54"/>
    </row>
    <row r="155" spans="1:24" ht="19.5" customHeight="1" x14ac:dyDescent="0.25">
      <c r="A155" s="437"/>
      <c r="B155" s="618"/>
      <c r="C155" s="64"/>
      <c r="D155" s="437"/>
      <c r="E155" s="620"/>
      <c r="F155" s="68" t="s">
        <v>150</v>
      </c>
      <c r="G155" s="66">
        <v>93</v>
      </c>
      <c r="H155" s="67" t="s">
        <v>195</v>
      </c>
      <c r="I155" s="69">
        <v>4556.67</v>
      </c>
      <c r="J155" s="67" t="s">
        <v>25</v>
      </c>
      <c r="K155" s="66">
        <f>ROUND((G155*I155),2)</f>
        <v>423770.31</v>
      </c>
      <c r="L155" s="67" t="s">
        <v>41</v>
      </c>
      <c r="M155" s="70">
        <f>ROUNDUP((K155),-2)</f>
        <v>423800</v>
      </c>
      <c r="N155" s="71" t="s">
        <v>37</v>
      </c>
      <c r="O155" s="70">
        <f>ROUNDUP((M155),-2)</f>
        <v>423800</v>
      </c>
      <c r="P155" s="72"/>
      <c r="Q155" s="72"/>
      <c r="R155" s="72"/>
      <c r="S155" s="65"/>
      <c r="T155" s="477"/>
      <c r="U155" s="477"/>
      <c r="V155" s="477"/>
      <c r="W155" s="64"/>
      <c r="X155" s="54" t="str">
        <f>""&amp;TEXT($G$154,"0,0")&amp;" заезда х "&amp;TEXT(ROUND((I155),2),"0 000,00")&amp;" руб. = "&amp;TEXT(ROUND(($G$154*(ROUND((K155/$G$154),2))),2),"0 000,00")&amp;" руб. = "&amp;TEXT(M155,"0 000,00")&amp;" руб."</f>
        <v>93,0 заезда х 4 556,67 руб. = 423 770,31 руб. = 423 800,00 руб.</v>
      </c>
    </row>
    <row r="156" spans="1:24" ht="19.5" customHeight="1" x14ac:dyDescent="0.25">
      <c r="A156" s="437"/>
      <c r="B156" s="618"/>
      <c r="C156" s="64"/>
      <c r="D156" s="437"/>
      <c r="E156" s="620"/>
      <c r="F156" s="68" t="s">
        <v>151</v>
      </c>
      <c r="G156" s="66">
        <f>G155</f>
        <v>93</v>
      </c>
      <c r="H156" s="67" t="s">
        <v>195</v>
      </c>
      <c r="I156" s="69">
        <f>I155*1.0408</f>
        <v>4742.582136</v>
      </c>
      <c r="J156" s="67" t="s">
        <v>25</v>
      </c>
      <c r="K156" s="66">
        <f t="shared" ref="K156:K157" si="53">ROUND((G156*I156),2)</f>
        <v>441060.14</v>
      </c>
      <c r="L156" s="67" t="s">
        <v>41</v>
      </c>
      <c r="M156" s="70">
        <f t="shared" ref="M156:M157" si="54">ROUNDUP((K156),-2)</f>
        <v>441100</v>
      </c>
      <c r="N156" s="67" t="s">
        <v>41</v>
      </c>
      <c r="O156" s="70">
        <f>ROUNDUP((M156),-2)</f>
        <v>441100</v>
      </c>
      <c r="P156" s="71" t="s">
        <v>37</v>
      </c>
      <c r="Q156" s="72"/>
      <c r="R156" s="72"/>
      <c r="S156" s="65"/>
      <c r="T156" s="477"/>
      <c r="U156" s="477"/>
      <c r="V156" s="477"/>
      <c r="W156" s="64"/>
      <c r="X156" s="54" t="str">
        <f t="shared" ref="X156:X157" si="55">""&amp;TEXT($G$154,"0,0")&amp;" заезда х "&amp;TEXT(ROUND((I156),2),"0 000,00")&amp;" руб. = "&amp;TEXT(ROUND(($G$154*(ROUND((K156/$G$154),2))),2),"0 000,00")&amp;" руб. = "&amp;TEXT(M156,"0 000,00")&amp;" руб."</f>
        <v>93,0 заезда х 4 742,58 руб. = 441 059,94 руб. = 441 100,00 руб.</v>
      </c>
    </row>
    <row r="157" spans="1:24" ht="19.5" customHeight="1" x14ac:dyDescent="0.25">
      <c r="A157" s="437"/>
      <c r="B157" s="618"/>
      <c r="C157" s="64"/>
      <c r="D157" s="437"/>
      <c r="E157" s="620"/>
      <c r="F157" s="68" t="s">
        <v>193</v>
      </c>
      <c r="G157" s="66">
        <f>G156</f>
        <v>93</v>
      </c>
      <c r="H157" s="67" t="s">
        <v>195</v>
      </c>
      <c r="I157" s="69">
        <f>I156*1.0408</f>
        <v>4936.0794871487997</v>
      </c>
      <c r="J157" s="67" t="s">
        <v>25</v>
      </c>
      <c r="K157" s="66">
        <f t="shared" si="53"/>
        <v>459055.39</v>
      </c>
      <c r="L157" s="67" t="s">
        <v>41</v>
      </c>
      <c r="M157" s="70">
        <f t="shared" si="54"/>
        <v>459100</v>
      </c>
      <c r="N157" s="67" t="s">
        <v>25</v>
      </c>
      <c r="O157" s="70">
        <f>ROUNDUP((M157),-2)</f>
        <v>459100</v>
      </c>
      <c r="P157" s="67" t="s">
        <v>41</v>
      </c>
      <c r="Q157" s="70">
        <f>ROUNDUP((O157),-2)</f>
        <v>459100</v>
      </c>
      <c r="R157" s="71" t="s">
        <v>37</v>
      </c>
      <c r="S157" s="65"/>
      <c r="T157" s="478"/>
      <c r="U157" s="478"/>
      <c r="V157" s="478"/>
      <c r="W157" s="64"/>
      <c r="X157" s="54" t="str">
        <f t="shared" si="55"/>
        <v>93,0 заезда х 4 936,08 руб. = 459 055,44 руб. = 459 100,00 руб.</v>
      </c>
    </row>
    <row r="158" spans="1:24" ht="121.5" customHeight="1" x14ac:dyDescent="0.25">
      <c r="A158" s="383" t="s">
        <v>21</v>
      </c>
      <c r="B158" s="617" t="s">
        <v>211</v>
      </c>
      <c r="C158" s="64"/>
      <c r="D158" s="619">
        <v>226</v>
      </c>
      <c r="E158" s="619">
        <v>244</v>
      </c>
      <c r="F158" s="380"/>
      <c r="G158" s="380"/>
      <c r="H158" s="380"/>
      <c r="I158" s="380"/>
      <c r="J158" s="380"/>
      <c r="K158" s="380"/>
      <c r="L158" s="380"/>
      <c r="M158" s="380"/>
      <c r="N158" s="380"/>
      <c r="O158" s="380"/>
      <c r="P158" s="380"/>
      <c r="Q158" s="380"/>
      <c r="R158" s="380"/>
      <c r="S158" s="65"/>
      <c r="T158" s="477">
        <v>1105000</v>
      </c>
      <c r="U158" s="477">
        <v>1150100</v>
      </c>
      <c r="V158" s="477">
        <v>1197000</v>
      </c>
      <c r="W158" s="64"/>
      <c r="X158" s="54" t="s">
        <v>79</v>
      </c>
    </row>
    <row r="159" spans="1:24" ht="16.5" customHeight="1" outlineLevel="1" x14ac:dyDescent="0.25">
      <c r="A159" s="383"/>
      <c r="B159" s="618"/>
      <c r="C159" s="64"/>
      <c r="D159" s="437"/>
      <c r="E159" s="437"/>
      <c r="F159" s="61"/>
      <c r="G159" s="66">
        <v>30</v>
      </c>
      <c r="H159" s="67" t="s">
        <v>66</v>
      </c>
      <c r="I159" s="66">
        <v>1</v>
      </c>
      <c r="J159" s="67"/>
      <c r="K159" s="66"/>
      <c r="L159" s="67" t="s">
        <v>41</v>
      </c>
      <c r="M159" s="66">
        <f>ROUND((G159*I159*K159),2)</f>
        <v>0</v>
      </c>
      <c r="N159" s="67" t="s">
        <v>37</v>
      </c>
      <c r="O159" s="66"/>
      <c r="P159" s="67"/>
      <c r="Q159" s="61"/>
      <c r="R159" s="65"/>
      <c r="S159" s="65"/>
      <c r="T159" s="477"/>
      <c r="U159" s="477"/>
      <c r="V159" s="477"/>
      <c r="W159" s="64"/>
    </row>
    <row r="160" spans="1:24" ht="18.75" customHeight="1" x14ac:dyDescent="0.25">
      <c r="A160" s="383"/>
      <c r="B160" s="618"/>
      <c r="C160" s="64"/>
      <c r="D160" s="437"/>
      <c r="E160" s="437"/>
      <c r="F160" s="68" t="s">
        <v>150</v>
      </c>
      <c r="G160" s="66">
        <f>G159</f>
        <v>30</v>
      </c>
      <c r="H160" s="67" t="s">
        <v>195</v>
      </c>
      <c r="I160" s="69">
        <v>1</v>
      </c>
      <c r="J160" s="67" t="s">
        <v>25</v>
      </c>
      <c r="K160" s="66">
        <v>36832.92</v>
      </c>
      <c r="L160" s="67" t="s">
        <v>41</v>
      </c>
      <c r="M160" s="70">
        <f>K160*I160*G160</f>
        <v>1104987.5999999999</v>
      </c>
      <c r="N160" s="71" t="s">
        <v>37</v>
      </c>
      <c r="O160" s="70">
        <f>ROUNDUP((M160),-2)</f>
        <v>1105000</v>
      </c>
      <c r="P160" s="72"/>
      <c r="Q160" s="72"/>
      <c r="R160" s="72"/>
      <c r="S160" s="65"/>
      <c r="T160" s="478"/>
      <c r="U160" s="478"/>
      <c r="V160" s="478"/>
      <c r="W160" s="64"/>
      <c r="X160" s="54" t="str">
        <f>""&amp;TEXT($G$159,"0,0")&amp;" чел. х "&amp;TEXT($I$159,"0,0")&amp;" раз х "&amp;TEXT(ROUND((M160/$G$159/$I$159),2),"0 000,00")&amp;" руб. = "&amp;TEXT(ROUND((($G$159*$I$159*ROUND((M160/$G$159/$I$159),2))),2),"0 000,00")&amp;" руб. = "&amp;TEXT(O160,"0 000,00")&amp;" руб."</f>
        <v>30,0 чел. х 1,0 раз х 36 832,92 руб. = 1 104 987,60 руб. = 1 105 000,00 руб.</v>
      </c>
    </row>
    <row r="161" spans="1:24" ht="18.75" customHeight="1" x14ac:dyDescent="0.25">
      <c r="A161" s="383"/>
      <c r="B161" s="618"/>
      <c r="C161" s="64"/>
      <c r="D161" s="437"/>
      <c r="E161" s="437"/>
      <c r="F161" s="68" t="s">
        <v>151</v>
      </c>
      <c r="G161" s="66">
        <f>G160</f>
        <v>30</v>
      </c>
      <c r="H161" s="67" t="str">
        <f>H160</f>
        <v xml:space="preserve">руб. х индекс потребительских цен </v>
      </c>
      <c r="I161" s="69">
        <v>1</v>
      </c>
      <c r="J161" s="67" t="s">
        <v>25</v>
      </c>
      <c r="K161" s="69">
        <v>38335.71</v>
      </c>
      <c r="L161" s="67" t="s">
        <v>41</v>
      </c>
      <c r="M161" s="70">
        <f t="shared" ref="M161:M162" si="56">K161*I161*G161</f>
        <v>1150071.3</v>
      </c>
      <c r="N161" s="67" t="s">
        <v>41</v>
      </c>
      <c r="O161" s="70">
        <f>ROUNDUP((M161),-2)</f>
        <v>1150100</v>
      </c>
      <c r="P161" s="71" t="s">
        <v>37</v>
      </c>
      <c r="Q161" s="72"/>
      <c r="R161" s="72"/>
      <c r="S161" s="65"/>
      <c r="T161" s="478"/>
      <c r="U161" s="478"/>
      <c r="V161" s="478"/>
      <c r="W161" s="64"/>
      <c r="X161" s="54" t="str">
        <f>""&amp;TEXT($G$159,"0,0")&amp;" чел. х "&amp;TEXT($I$159,"0,0")&amp;" раз х "&amp;TEXT(ROUND((M161/$G$159/$I$159),2),"0 000,00")&amp;" руб. = "&amp;TEXT(ROUND((($G$159*$I$159*ROUND((M161/$G$159/$I$159),2))),2),"0 000,00")&amp;" руб. = "&amp;TEXT(O161,"0 000,00")&amp;" руб."</f>
        <v>30,0 чел. х 1,0 раз х 38 335,71 руб. = 1 150 071,30 руб. = 1 150 100,00 руб.</v>
      </c>
    </row>
    <row r="162" spans="1:24" ht="18.75" customHeight="1" x14ac:dyDescent="0.25">
      <c r="A162" s="383"/>
      <c r="B162" s="618"/>
      <c r="C162" s="64"/>
      <c r="D162" s="437"/>
      <c r="E162" s="437"/>
      <c r="F162" s="68" t="s">
        <v>193</v>
      </c>
      <c r="G162" s="66">
        <f>G161</f>
        <v>30</v>
      </c>
      <c r="H162" s="67" t="str">
        <f>H160</f>
        <v xml:space="preserve">руб. х индекс потребительских цен </v>
      </c>
      <c r="I162" s="69">
        <v>1</v>
      </c>
      <c r="J162" s="67" t="s">
        <v>25</v>
      </c>
      <c r="K162" s="69">
        <f>K161*1.0408</f>
        <v>39899.806967999997</v>
      </c>
      <c r="L162" s="67" t="s">
        <v>41</v>
      </c>
      <c r="M162" s="70">
        <f t="shared" si="56"/>
        <v>1196994.2090399999</v>
      </c>
      <c r="N162" s="67" t="s">
        <v>25</v>
      </c>
      <c r="O162" s="70">
        <f>ROUNDUP((M162),-2)</f>
        <v>1197000</v>
      </c>
      <c r="P162" s="67" t="s">
        <v>41</v>
      </c>
      <c r="Q162" s="70">
        <f>ROUNDUP((O162),-2)</f>
        <v>1197000</v>
      </c>
      <c r="R162" s="71" t="s">
        <v>37</v>
      </c>
      <c r="S162" s="65"/>
      <c r="T162" s="478"/>
      <c r="U162" s="478"/>
      <c r="V162" s="478"/>
      <c r="W162" s="64"/>
      <c r="X162" s="54" t="str">
        <f>""&amp;TEXT($G$159,"0,0")&amp;" чел. х "&amp;TEXT($I$159,"0,0")&amp;" раз х "&amp;TEXT(ROUND((M162/$G$159/$I$159),2),"0 000,00")&amp;" руб. = "&amp;TEXT(ROUND((($G$159*$I$159*ROUND((M162/$G$159/$I$159),2))),2),"0 000,00")&amp;" руб. = "&amp;TEXT(O162,"0 000,00")&amp;" руб."</f>
        <v>30,0 чел. х 1,0 раз х 39 899,81 руб. = 1 196 994,30 руб. = 1 197 000,00 руб.</v>
      </c>
    </row>
    <row r="163" spans="1:24" ht="90" x14ac:dyDescent="0.25">
      <c r="A163" s="383" t="s">
        <v>22</v>
      </c>
      <c r="B163" s="617" t="s">
        <v>96</v>
      </c>
      <c r="C163" s="64"/>
      <c r="D163" s="619">
        <v>226</v>
      </c>
      <c r="E163" s="619">
        <v>244</v>
      </c>
      <c r="F163" s="380"/>
      <c r="G163" s="380"/>
      <c r="H163" s="380"/>
      <c r="I163" s="380"/>
      <c r="J163" s="380"/>
      <c r="K163" s="380"/>
      <c r="L163" s="380"/>
      <c r="M163" s="380"/>
      <c r="N163" s="380"/>
      <c r="O163" s="380"/>
      <c r="P163" s="380"/>
      <c r="Q163" s="380"/>
      <c r="R163" s="380"/>
      <c r="S163" s="65"/>
      <c r="T163" s="477">
        <v>4200</v>
      </c>
      <c r="U163" s="477">
        <v>4400</v>
      </c>
      <c r="V163" s="477">
        <v>4600</v>
      </c>
      <c r="W163" s="64"/>
      <c r="X163" s="54" t="s">
        <v>174</v>
      </c>
    </row>
    <row r="164" spans="1:24" ht="17.25" customHeight="1" outlineLevel="1" x14ac:dyDescent="0.25">
      <c r="A164" s="383"/>
      <c r="B164" s="618"/>
      <c r="C164" s="64"/>
      <c r="D164" s="437"/>
      <c r="E164" s="437"/>
      <c r="F164" s="61"/>
      <c r="G164" s="66">
        <v>2</v>
      </c>
      <c r="H164" s="67" t="s">
        <v>80</v>
      </c>
      <c r="I164" s="66"/>
      <c r="J164" s="67" t="s">
        <v>41</v>
      </c>
      <c r="K164" s="66"/>
      <c r="L164" s="67" t="s">
        <v>37</v>
      </c>
      <c r="M164" s="67"/>
      <c r="N164" s="67"/>
      <c r="O164" s="67"/>
      <c r="P164" s="67"/>
      <c r="Q164" s="67"/>
      <c r="R164" s="65"/>
      <c r="S164" s="65"/>
      <c r="T164" s="477"/>
      <c r="U164" s="477"/>
      <c r="V164" s="477"/>
      <c r="W164" s="64"/>
      <c r="X164" s="54"/>
    </row>
    <row r="165" spans="1:24" ht="19.5" customHeight="1" x14ac:dyDescent="0.25">
      <c r="A165" s="383"/>
      <c r="B165" s="618"/>
      <c r="C165" s="64"/>
      <c r="D165" s="437"/>
      <c r="E165" s="437"/>
      <c r="F165" s="68" t="s">
        <v>150</v>
      </c>
      <c r="G165" s="66">
        <v>2</v>
      </c>
      <c r="H165" s="67" t="s">
        <v>80</v>
      </c>
      <c r="I165" s="69">
        <v>2077.8000000000002</v>
      </c>
      <c r="J165" s="67" t="s">
        <v>25</v>
      </c>
      <c r="K165" s="66">
        <v>1</v>
      </c>
      <c r="L165" s="67" t="s">
        <v>41</v>
      </c>
      <c r="M165" s="66">
        <f>ROUND((G165*I165*K165),2)</f>
        <v>4155.6000000000004</v>
      </c>
      <c r="N165" s="71" t="s">
        <v>37</v>
      </c>
      <c r="O165" s="70">
        <f>ROUNDUP((M165),-2)</f>
        <v>4200</v>
      </c>
      <c r="P165" s="71" t="s">
        <v>37</v>
      </c>
      <c r="Q165" s="70">
        <f t="shared" ref="Q165:Q166" si="57">ROUNDUP((O165),-2)</f>
        <v>4200</v>
      </c>
      <c r="R165" s="72"/>
      <c r="S165" s="65"/>
      <c r="T165" s="478"/>
      <c r="U165" s="478"/>
      <c r="V165" s="478"/>
      <c r="W165" s="64"/>
      <c r="X165" s="54" t="str">
        <f>""&amp;TEXT($G$164,"0,0")&amp;" ед. х "&amp;TEXT(ROUND((I165),2),"0 000,00")&amp;" руб. = "&amp;TEXT(ROUND(((ROUND((M165),2))),2),"0 000,00")&amp;" руб. = "&amp;TEXT(O165,"0 000,00")&amp;" руб."</f>
        <v>2,0 ед. х 2 077,80 руб. = 4 155,60 руб. = 4 200,00 руб.</v>
      </c>
    </row>
    <row r="166" spans="1:24" ht="19.5" customHeight="1" x14ac:dyDescent="0.25">
      <c r="A166" s="383"/>
      <c r="B166" s="618"/>
      <c r="C166" s="64"/>
      <c r="D166" s="437"/>
      <c r="E166" s="437"/>
      <c r="F166" s="68" t="s">
        <v>151</v>
      </c>
      <c r="G166" s="66">
        <v>2</v>
      </c>
      <c r="H166" s="67" t="s">
        <v>80</v>
      </c>
      <c r="I166" s="69">
        <v>2162.58</v>
      </c>
      <c r="J166" s="67" t="s">
        <v>25</v>
      </c>
      <c r="K166" s="69">
        <v>1</v>
      </c>
      <c r="L166" s="67" t="s">
        <v>41</v>
      </c>
      <c r="M166" s="66">
        <f t="shared" ref="M166:M167" si="58">ROUND((G166*I166*K166),2)</f>
        <v>4325.16</v>
      </c>
      <c r="N166" s="71" t="s">
        <v>37</v>
      </c>
      <c r="O166" s="70">
        <f t="shared" ref="O166:O167" si="59">ROUNDUP((M166),-2)</f>
        <v>4400</v>
      </c>
      <c r="P166" s="71" t="s">
        <v>37</v>
      </c>
      <c r="Q166" s="70">
        <f t="shared" si="57"/>
        <v>4400</v>
      </c>
      <c r="R166" s="72"/>
      <c r="S166" s="65"/>
      <c r="T166" s="478"/>
      <c r="U166" s="478"/>
      <c r="V166" s="478"/>
      <c r="W166" s="64"/>
      <c r="X166" s="54" t="str">
        <f t="shared" ref="X166:X167" si="60">""&amp;TEXT($G$164,"0,0")&amp;" ед. х "&amp;TEXT(ROUND((I166),2),"0 000,00")&amp;" руб. = "&amp;TEXT(ROUND(((ROUND((M166),2))),2),"0 000,00")&amp;" руб. = "&amp;TEXT(O166,"0 000,00")&amp;" руб."</f>
        <v>2,0 ед. х 2 162,58 руб. = 4 325,16 руб. = 4 400,00 руб.</v>
      </c>
    </row>
    <row r="167" spans="1:24" ht="19.5" customHeight="1" x14ac:dyDescent="0.25">
      <c r="A167" s="383"/>
      <c r="B167" s="618"/>
      <c r="C167" s="64"/>
      <c r="D167" s="437"/>
      <c r="E167" s="437"/>
      <c r="F167" s="68" t="s">
        <v>193</v>
      </c>
      <c r="G167" s="66">
        <v>2</v>
      </c>
      <c r="H167" s="67" t="s">
        <v>80</v>
      </c>
      <c r="I167" s="69">
        <f>I166*1.0408</f>
        <v>2250.8132639999999</v>
      </c>
      <c r="J167" s="67" t="s">
        <v>25</v>
      </c>
      <c r="K167" s="69">
        <v>1</v>
      </c>
      <c r="L167" s="67" t="s">
        <v>41</v>
      </c>
      <c r="M167" s="66">
        <f t="shared" si="58"/>
        <v>4501.63</v>
      </c>
      <c r="N167" s="71" t="s">
        <v>37</v>
      </c>
      <c r="O167" s="70">
        <f t="shared" si="59"/>
        <v>4600</v>
      </c>
      <c r="P167" s="71" t="s">
        <v>37</v>
      </c>
      <c r="Q167" s="70">
        <f>ROUNDUP((O167),-2)</f>
        <v>4600</v>
      </c>
      <c r="R167" s="71" t="s">
        <v>37</v>
      </c>
      <c r="S167" s="65"/>
      <c r="T167" s="478"/>
      <c r="U167" s="478"/>
      <c r="V167" s="478"/>
      <c r="W167" s="64"/>
      <c r="X167" s="54" t="str">
        <f t="shared" si="60"/>
        <v>2,0 ед. х 2 250,81 руб. = 4 501,63 руб. = 4 600,00 руб.</v>
      </c>
    </row>
    <row r="168" spans="1:24" ht="90" x14ac:dyDescent="0.25">
      <c r="A168" s="388" t="s">
        <v>190</v>
      </c>
      <c r="B168" s="611" t="s">
        <v>191</v>
      </c>
      <c r="C168" s="64"/>
      <c r="D168" s="614">
        <v>226</v>
      </c>
      <c r="E168" s="614">
        <v>244</v>
      </c>
      <c r="F168" s="380"/>
      <c r="G168" s="380"/>
      <c r="H168" s="380"/>
      <c r="I168" s="380"/>
      <c r="J168" s="380"/>
      <c r="K168" s="380"/>
      <c r="L168" s="380"/>
      <c r="M168" s="380"/>
      <c r="N168" s="380"/>
      <c r="O168" s="380"/>
      <c r="P168" s="380"/>
      <c r="Q168" s="380"/>
      <c r="R168" s="380"/>
      <c r="S168" s="65"/>
      <c r="T168" s="420">
        <f>O170</f>
        <v>1908100</v>
      </c>
      <c r="U168" s="420">
        <f>O171</f>
        <v>1986000</v>
      </c>
      <c r="V168" s="420">
        <f>O172</f>
        <v>2067000</v>
      </c>
      <c r="W168" s="64"/>
      <c r="X168" s="54" t="s">
        <v>192</v>
      </c>
    </row>
    <row r="169" spans="1:24" ht="15" x14ac:dyDescent="0.25">
      <c r="A169" s="389"/>
      <c r="B169" s="612"/>
      <c r="C169" s="64"/>
      <c r="D169" s="615"/>
      <c r="E169" s="615"/>
      <c r="F169" s="61"/>
      <c r="G169" s="66">
        <v>1800</v>
      </c>
      <c r="H169" s="67" t="s">
        <v>195</v>
      </c>
      <c r="I169" s="69"/>
      <c r="J169" s="65" t="s">
        <v>25</v>
      </c>
      <c r="K169" s="69"/>
      <c r="L169" s="67" t="s">
        <v>37</v>
      </c>
      <c r="M169" s="66"/>
      <c r="N169" s="67"/>
      <c r="O169" s="70"/>
      <c r="P169" s="71"/>
      <c r="Q169" s="72"/>
      <c r="R169" s="72"/>
      <c r="S169" s="65"/>
      <c r="T169" s="421"/>
      <c r="U169" s="421"/>
      <c r="V169" s="421"/>
      <c r="W169" s="64"/>
      <c r="X169" s="54"/>
    </row>
    <row r="170" spans="1:24" ht="23.25" customHeight="1" x14ac:dyDescent="0.25">
      <c r="A170" s="389"/>
      <c r="B170" s="612"/>
      <c r="C170" s="64"/>
      <c r="D170" s="615"/>
      <c r="E170" s="615"/>
      <c r="F170" s="68" t="s">
        <v>150</v>
      </c>
      <c r="G170" s="66">
        <v>1800</v>
      </c>
      <c r="H170" s="67" t="s">
        <v>195</v>
      </c>
      <c r="I170" s="69">
        <v>1060.05</v>
      </c>
      <c r="J170" s="65" t="s">
        <v>25</v>
      </c>
      <c r="K170" s="69">
        <v>1</v>
      </c>
      <c r="L170" s="67" t="s">
        <v>37</v>
      </c>
      <c r="M170" s="66">
        <f>ROUND((G170*I170*K170),2)</f>
        <v>1908090</v>
      </c>
      <c r="N170" s="71" t="s">
        <v>37</v>
      </c>
      <c r="O170" s="70">
        <f>ROUNDUP((M170),-2)</f>
        <v>1908100</v>
      </c>
      <c r="P170" s="71" t="s">
        <v>37</v>
      </c>
      <c r="Q170" s="70">
        <f t="shared" ref="Q170:Q171" si="61">ROUNDUP((O170),-2)</f>
        <v>1908100</v>
      </c>
      <c r="R170" s="72"/>
      <c r="S170" s="65"/>
      <c r="T170" s="421"/>
      <c r="U170" s="421"/>
      <c r="V170" s="421"/>
      <c r="W170" s="64"/>
      <c r="X170" s="54" t="str">
        <f>""&amp;TEXT($G$171,"0,0")&amp;" ед. х "&amp;TEXT(ROUND((I170),2),"0 000,00")&amp;" руб. = "&amp;TEXT(ROUND(((ROUND((G170*I170),2))),2),"0 000,00")&amp;" руб. = "&amp;TEXT(O170,"0 000,00")&amp;" руб."</f>
        <v>1800,0 ед. х 1 060,05 руб. = 1 908 090,00 руб. = 1 908 100,00 руб.</v>
      </c>
    </row>
    <row r="171" spans="1:24" ht="21" customHeight="1" x14ac:dyDescent="0.25">
      <c r="A171" s="389"/>
      <c r="B171" s="612"/>
      <c r="C171" s="64"/>
      <c r="D171" s="615"/>
      <c r="E171" s="615"/>
      <c r="F171" s="68" t="s">
        <v>151</v>
      </c>
      <c r="G171" s="66">
        <v>1800</v>
      </c>
      <c r="H171" s="67" t="s">
        <v>195</v>
      </c>
      <c r="I171" s="69">
        <v>1103.3</v>
      </c>
      <c r="J171" s="65" t="s">
        <v>25</v>
      </c>
      <c r="K171" s="69">
        <v>1</v>
      </c>
      <c r="L171" s="67" t="s">
        <v>37</v>
      </c>
      <c r="M171" s="66">
        <f>ROUND((G171*I171*K171),2)</f>
        <v>1985940</v>
      </c>
      <c r="N171" s="71" t="s">
        <v>37</v>
      </c>
      <c r="O171" s="70">
        <f>ROUNDUP((M171),-2)</f>
        <v>1986000</v>
      </c>
      <c r="P171" s="71" t="s">
        <v>37</v>
      </c>
      <c r="Q171" s="70">
        <f t="shared" si="61"/>
        <v>1986000</v>
      </c>
      <c r="R171" s="72"/>
      <c r="S171" s="65"/>
      <c r="T171" s="421"/>
      <c r="U171" s="421"/>
      <c r="V171" s="421"/>
      <c r="W171" s="64"/>
      <c r="X171" s="54" t="str">
        <f t="shared" ref="X171:X172" si="62">""&amp;TEXT($G$171,"0,0")&amp;" ед. х "&amp;TEXT(ROUND((I171),2),"0 000,00")&amp;" руб. = "&amp;TEXT(ROUND(((ROUND((G171*I171),2))),2),"0 000,00")&amp;" руб. = "&amp;TEXT(O171,"0 000,00")&amp;" руб."</f>
        <v>1800,0 ед. х 1 103,30 руб. = 1 985 940,00 руб. = 1 986 000,00 руб.</v>
      </c>
    </row>
    <row r="172" spans="1:24" ht="21" customHeight="1" x14ac:dyDescent="0.25">
      <c r="A172" s="390"/>
      <c r="B172" s="613"/>
      <c r="C172" s="64"/>
      <c r="D172" s="616"/>
      <c r="E172" s="616"/>
      <c r="F172" s="68" t="s">
        <v>193</v>
      </c>
      <c r="G172" s="66">
        <v>1800</v>
      </c>
      <c r="H172" s="67" t="s">
        <v>195</v>
      </c>
      <c r="I172" s="69">
        <f>I171*1.0408</f>
        <v>1148.3146399999998</v>
      </c>
      <c r="J172" s="65" t="s">
        <v>25</v>
      </c>
      <c r="K172" s="69">
        <v>1</v>
      </c>
      <c r="L172" s="67" t="s">
        <v>37</v>
      </c>
      <c r="M172" s="66">
        <f>ROUND((G172*I172*K172),2)</f>
        <v>2066966.35</v>
      </c>
      <c r="N172" s="71" t="s">
        <v>37</v>
      </c>
      <c r="O172" s="70">
        <f>ROUNDUP((M172),-2)</f>
        <v>2067000</v>
      </c>
      <c r="P172" s="71" t="s">
        <v>37</v>
      </c>
      <c r="Q172" s="70">
        <f>ROUNDUP((O172),-2)</f>
        <v>2067000</v>
      </c>
      <c r="R172" s="71" t="s">
        <v>37</v>
      </c>
      <c r="S172" s="65"/>
      <c r="T172" s="422"/>
      <c r="U172" s="422"/>
      <c r="V172" s="422"/>
      <c r="W172" s="64"/>
      <c r="X172" s="54" t="str">
        <f t="shared" si="62"/>
        <v>1800,0 ед. х 1 148,31 руб. = 2 066 966,35 руб. = 2 067 000,00 руб.</v>
      </c>
    </row>
    <row r="173" spans="1:24" x14ac:dyDescent="0.25">
      <c r="A173" s="100"/>
      <c r="B173" s="114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114"/>
      <c r="U173" s="114"/>
      <c r="V173" s="114"/>
      <c r="W173" s="61"/>
      <c r="X173" s="61"/>
    </row>
    <row r="174" spans="1:24" ht="27.75" customHeight="1" x14ac:dyDescent="0.25">
      <c r="A174" s="481" t="s">
        <v>216</v>
      </c>
      <c r="B174" s="481"/>
      <c r="C174" s="481"/>
      <c r="D174" s="481"/>
      <c r="E174" s="481"/>
      <c r="F174" s="481"/>
      <c r="G174" s="481"/>
      <c r="H174" s="481"/>
      <c r="I174" s="481"/>
      <c r="J174" s="481"/>
      <c r="K174" s="481"/>
      <c r="L174" s="481"/>
      <c r="M174" s="481"/>
      <c r="N174" s="481"/>
      <c r="O174" s="481"/>
      <c r="P174" s="481"/>
      <c r="Q174" s="481"/>
      <c r="R174" s="481"/>
      <c r="S174" s="481"/>
      <c r="T174" s="481"/>
      <c r="U174" s="481"/>
      <c r="V174" s="481"/>
      <c r="W174" s="481"/>
      <c r="X174" s="481"/>
    </row>
    <row r="175" spans="1:24" ht="10.5" customHeight="1" x14ac:dyDescent="0.2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1:24" ht="25.5" customHeight="1" x14ac:dyDescent="0.25">
      <c r="A176" s="102" t="s">
        <v>197</v>
      </c>
      <c r="X176" s="103" t="s">
        <v>196</v>
      </c>
    </row>
    <row r="178" spans="1:1" x14ac:dyDescent="0.25">
      <c r="A178" s="104">
        <v>43987</v>
      </c>
    </row>
  </sheetData>
  <autoFilter ref="D8:R167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271">
    <mergeCell ref="U168:U172"/>
    <mergeCell ref="V168:V172"/>
    <mergeCell ref="A174:X174"/>
    <mergeCell ref="A168:A172"/>
    <mergeCell ref="B168:B172"/>
    <mergeCell ref="D168:D172"/>
    <mergeCell ref="E168:E172"/>
    <mergeCell ref="F168:R168"/>
    <mergeCell ref="T168:T172"/>
    <mergeCell ref="A158:A162"/>
    <mergeCell ref="B158:B162"/>
    <mergeCell ref="D158:D162"/>
    <mergeCell ref="E158:E162"/>
    <mergeCell ref="F158:R158"/>
    <mergeCell ref="T158:T162"/>
    <mergeCell ref="U158:U162"/>
    <mergeCell ref="V158:V162"/>
    <mergeCell ref="A163:A167"/>
    <mergeCell ref="B163:B167"/>
    <mergeCell ref="D163:D167"/>
    <mergeCell ref="E163:E167"/>
    <mergeCell ref="F163:R163"/>
    <mergeCell ref="T163:T167"/>
    <mergeCell ref="U163:U167"/>
    <mergeCell ref="V163:V167"/>
    <mergeCell ref="A153:A157"/>
    <mergeCell ref="B153:B157"/>
    <mergeCell ref="D153:D157"/>
    <mergeCell ref="E153:E157"/>
    <mergeCell ref="F153:R153"/>
    <mergeCell ref="U142:U146"/>
    <mergeCell ref="V142:V146"/>
    <mergeCell ref="A147:A151"/>
    <mergeCell ref="B147:B151"/>
    <mergeCell ref="D147:D151"/>
    <mergeCell ref="E147:E151"/>
    <mergeCell ref="F147:R147"/>
    <mergeCell ref="T147:T151"/>
    <mergeCell ref="U147:U151"/>
    <mergeCell ref="V147:V151"/>
    <mergeCell ref="A142:A146"/>
    <mergeCell ref="B142:B146"/>
    <mergeCell ref="D142:D146"/>
    <mergeCell ref="E142:E146"/>
    <mergeCell ref="F142:R142"/>
    <mergeCell ref="T142:T146"/>
    <mergeCell ref="T153:T157"/>
    <mergeCell ref="U153:U157"/>
    <mergeCell ref="V153:V157"/>
    <mergeCell ref="A137:A141"/>
    <mergeCell ref="B137:B141"/>
    <mergeCell ref="D137:D141"/>
    <mergeCell ref="E137:E141"/>
    <mergeCell ref="F137:R137"/>
    <mergeCell ref="T137:T141"/>
    <mergeCell ref="U137:U141"/>
    <mergeCell ref="V137:V141"/>
    <mergeCell ref="F152:S152"/>
    <mergeCell ref="V129:V132"/>
    <mergeCell ref="A133:A136"/>
    <mergeCell ref="B133:B136"/>
    <mergeCell ref="D133:D136"/>
    <mergeCell ref="E133:E136"/>
    <mergeCell ref="F133:R133"/>
    <mergeCell ref="T133:T136"/>
    <mergeCell ref="U133:U136"/>
    <mergeCell ref="V133:V136"/>
    <mergeCell ref="U129:U132"/>
    <mergeCell ref="U114:U117"/>
    <mergeCell ref="V118:V122"/>
    <mergeCell ref="A123:A127"/>
    <mergeCell ref="B123:B127"/>
    <mergeCell ref="D123:D127"/>
    <mergeCell ref="E123:E127"/>
    <mergeCell ref="F123:R123"/>
    <mergeCell ref="T123:T127"/>
    <mergeCell ref="U123:U127"/>
    <mergeCell ref="V123:V127"/>
    <mergeCell ref="A118:A122"/>
    <mergeCell ref="B118:B122"/>
    <mergeCell ref="D118:D122"/>
    <mergeCell ref="E118:E122"/>
    <mergeCell ref="F118:R118"/>
    <mergeCell ref="T118:T122"/>
    <mergeCell ref="U118:U122"/>
    <mergeCell ref="V114:V117"/>
    <mergeCell ref="T103:T107"/>
    <mergeCell ref="F128:S128"/>
    <mergeCell ref="A129:A132"/>
    <mergeCell ref="B129:B132"/>
    <mergeCell ref="D129:D132"/>
    <mergeCell ref="E129:E132"/>
    <mergeCell ref="F129:R129"/>
    <mergeCell ref="T129:T132"/>
    <mergeCell ref="A114:A117"/>
    <mergeCell ref="B114:B117"/>
    <mergeCell ref="D114:D117"/>
    <mergeCell ref="E114:E117"/>
    <mergeCell ref="F114:R114"/>
    <mergeCell ref="T114:T117"/>
    <mergeCell ref="A98:A102"/>
    <mergeCell ref="B98:B102"/>
    <mergeCell ref="D98:D102"/>
    <mergeCell ref="E98:E102"/>
    <mergeCell ref="F98:R98"/>
    <mergeCell ref="T98:T102"/>
    <mergeCell ref="U98:U102"/>
    <mergeCell ref="V98:V102"/>
    <mergeCell ref="F113:S113"/>
    <mergeCell ref="U103:U107"/>
    <mergeCell ref="V103:V107"/>
    <mergeCell ref="A108:A112"/>
    <mergeCell ref="B108:B112"/>
    <mergeCell ref="D108:D112"/>
    <mergeCell ref="E108:E112"/>
    <mergeCell ref="F108:R108"/>
    <mergeCell ref="T108:T112"/>
    <mergeCell ref="U108:U112"/>
    <mergeCell ref="V108:V112"/>
    <mergeCell ref="A103:A107"/>
    <mergeCell ref="B103:B107"/>
    <mergeCell ref="D103:D107"/>
    <mergeCell ref="E103:E107"/>
    <mergeCell ref="F103:R103"/>
    <mergeCell ref="F92:R92"/>
    <mergeCell ref="A93:A97"/>
    <mergeCell ref="B93:B97"/>
    <mergeCell ref="D93:D97"/>
    <mergeCell ref="E93:E97"/>
    <mergeCell ref="F93:R93"/>
    <mergeCell ref="T93:T97"/>
    <mergeCell ref="U93:U97"/>
    <mergeCell ref="V93:V97"/>
    <mergeCell ref="F87:S87"/>
    <mergeCell ref="A88:A91"/>
    <mergeCell ref="B88:B91"/>
    <mergeCell ref="D88:D91"/>
    <mergeCell ref="E88:E91"/>
    <mergeCell ref="F88:R88"/>
    <mergeCell ref="V78:V82"/>
    <mergeCell ref="A85:A86"/>
    <mergeCell ref="D85:D86"/>
    <mergeCell ref="E85:E86"/>
    <mergeCell ref="F85:S86"/>
    <mergeCell ref="T85:T86"/>
    <mergeCell ref="U85:U86"/>
    <mergeCell ref="V85:V86"/>
    <mergeCell ref="T88:T91"/>
    <mergeCell ref="U88:U91"/>
    <mergeCell ref="V88:V91"/>
    <mergeCell ref="U72:U76"/>
    <mergeCell ref="V72:V76"/>
    <mergeCell ref="F77:S77"/>
    <mergeCell ref="A78:A82"/>
    <mergeCell ref="B78:B82"/>
    <mergeCell ref="D78:D82"/>
    <mergeCell ref="E78:E82"/>
    <mergeCell ref="F78:R78"/>
    <mergeCell ref="T78:T82"/>
    <mergeCell ref="U78:U82"/>
    <mergeCell ref="A72:A76"/>
    <mergeCell ref="B72:B76"/>
    <mergeCell ref="D72:D76"/>
    <mergeCell ref="E72:E76"/>
    <mergeCell ref="F72:R72"/>
    <mergeCell ref="T72:T76"/>
    <mergeCell ref="F66:S66"/>
    <mergeCell ref="A67:A71"/>
    <mergeCell ref="B67:B71"/>
    <mergeCell ref="D67:D71"/>
    <mergeCell ref="E67:E71"/>
    <mergeCell ref="F67:R67"/>
    <mergeCell ref="T67:T71"/>
    <mergeCell ref="U67:U71"/>
    <mergeCell ref="V67:V71"/>
    <mergeCell ref="E50:E54"/>
    <mergeCell ref="F50:R50"/>
    <mergeCell ref="V56:V60"/>
    <mergeCell ref="A61:A65"/>
    <mergeCell ref="B61:B65"/>
    <mergeCell ref="D61:D65"/>
    <mergeCell ref="E61:E65"/>
    <mergeCell ref="F61:R61"/>
    <mergeCell ref="T61:T65"/>
    <mergeCell ref="U61:U65"/>
    <mergeCell ref="V61:V65"/>
    <mergeCell ref="A56:A60"/>
    <mergeCell ref="B56:B60"/>
    <mergeCell ref="D56:D60"/>
    <mergeCell ref="E56:E60"/>
    <mergeCell ref="F56:R56"/>
    <mergeCell ref="T56:T60"/>
    <mergeCell ref="U56:U60"/>
    <mergeCell ref="F55:S55"/>
    <mergeCell ref="X31:X32"/>
    <mergeCell ref="X33:X34"/>
    <mergeCell ref="X35:X36"/>
    <mergeCell ref="F37:S37"/>
    <mergeCell ref="F38:S38"/>
    <mergeCell ref="T40:T44"/>
    <mergeCell ref="U40:U44"/>
    <mergeCell ref="V40:V44"/>
    <mergeCell ref="A40:A44"/>
    <mergeCell ref="B40:B44"/>
    <mergeCell ref="D40:D44"/>
    <mergeCell ref="E40:E44"/>
    <mergeCell ref="F40:R40"/>
    <mergeCell ref="V45:V49"/>
    <mergeCell ref="V50:V54"/>
    <mergeCell ref="T45:T49"/>
    <mergeCell ref="U45:U49"/>
    <mergeCell ref="V26:V29"/>
    <mergeCell ref="A30:A36"/>
    <mergeCell ref="B30:B36"/>
    <mergeCell ref="D30:D36"/>
    <mergeCell ref="E30:E36"/>
    <mergeCell ref="F30:R30"/>
    <mergeCell ref="T30:T36"/>
    <mergeCell ref="U30:U36"/>
    <mergeCell ref="F39:S39"/>
    <mergeCell ref="V30:V36"/>
    <mergeCell ref="T50:T54"/>
    <mergeCell ref="U50:U54"/>
    <mergeCell ref="A45:A49"/>
    <mergeCell ref="B45:B49"/>
    <mergeCell ref="D45:D49"/>
    <mergeCell ref="E45:E49"/>
    <mergeCell ref="F45:R45"/>
    <mergeCell ref="A50:A54"/>
    <mergeCell ref="B50:B54"/>
    <mergeCell ref="D50:D54"/>
    <mergeCell ref="F25:S25"/>
    <mergeCell ref="A26:A29"/>
    <mergeCell ref="B26:B29"/>
    <mergeCell ref="D26:D29"/>
    <mergeCell ref="E26:E29"/>
    <mergeCell ref="F26:R26"/>
    <mergeCell ref="U15:U19"/>
    <mergeCell ref="V15:V19"/>
    <mergeCell ref="A20:A24"/>
    <mergeCell ref="B20:B24"/>
    <mergeCell ref="D20:D24"/>
    <mergeCell ref="E20:E24"/>
    <mergeCell ref="F20:R20"/>
    <mergeCell ref="T20:T24"/>
    <mergeCell ref="U20:U24"/>
    <mergeCell ref="V20:V24"/>
    <mergeCell ref="A15:A19"/>
    <mergeCell ref="B15:B19"/>
    <mergeCell ref="D15:D19"/>
    <mergeCell ref="E15:E19"/>
    <mergeCell ref="F15:R15"/>
    <mergeCell ref="T15:T19"/>
    <mergeCell ref="T26:T29"/>
    <mergeCell ref="U26:U29"/>
    <mergeCell ref="T8:V8"/>
    <mergeCell ref="X8:X9"/>
    <mergeCell ref="F11:S11"/>
    <mergeCell ref="F12:S12"/>
    <mergeCell ref="F13:S13"/>
    <mergeCell ref="F14:S14"/>
    <mergeCell ref="A2:X2"/>
    <mergeCell ref="A3:X3"/>
    <mergeCell ref="A4:X4"/>
    <mergeCell ref="A5:X5"/>
    <mergeCell ref="A6:X6"/>
    <mergeCell ref="A8:A9"/>
    <mergeCell ref="B8:B9"/>
    <mergeCell ref="D8:D9"/>
    <mergeCell ref="E8:E9"/>
    <mergeCell ref="F8:R9"/>
  </mergeCells>
  <pageMargins left="0.55118110236220474" right="0.39370078740157483" top="0.82677165354330717" bottom="0.35433070866141736" header="0.31496062992125984" footer="0.19685039370078741"/>
  <pageSetup paperSize="9" scale="45" fitToHeight="1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Y178"/>
  <sheetViews>
    <sheetView view="pageBreakPreview" zoomScale="62" zoomScaleNormal="52" zoomScaleSheetLayoutView="62" workbookViewId="0">
      <pane xSplit="2" ySplit="10" topLeftCell="R76" activePane="bottomRight" state="frozen"/>
      <selection pane="topRight" activeCell="C1" sqref="C1"/>
      <selection pane="bottomLeft" activeCell="A11" sqref="A11"/>
      <selection pane="bottomRight" activeCell="B86" sqref="B86"/>
    </sheetView>
  </sheetViews>
  <sheetFormatPr defaultColWidth="9.140625" defaultRowHeight="15.75" outlineLevelRow="1" outlineLevelCol="1" x14ac:dyDescent="0.25"/>
  <cols>
    <col min="1" max="1" width="9.5703125" style="55" customWidth="1"/>
    <col min="2" max="2" width="61.140625" style="105" customWidth="1" collapsed="1"/>
    <col min="3" max="3" width="0.28515625" style="55" hidden="1" customWidth="1" outlineLevel="1" collapsed="1"/>
    <col min="4" max="4" width="9" style="55" hidden="1" customWidth="1" outlineLevel="1"/>
    <col min="5" max="5" width="9" style="55" hidden="1" customWidth="1" outlineLevel="1" collapsed="1"/>
    <col min="6" max="6" width="25.140625" style="55" hidden="1" customWidth="1" outlineLevel="1"/>
    <col min="7" max="7" width="13.5703125" style="55" hidden="1" customWidth="1" outlineLevel="1"/>
    <col min="8" max="8" width="43.5703125" style="55" hidden="1" customWidth="1" outlineLevel="1"/>
    <col min="9" max="9" width="13.5703125" style="55" hidden="1" customWidth="1" outlineLevel="1"/>
    <col min="10" max="10" width="27.7109375" style="55" hidden="1" customWidth="1" outlineLevel="1"/>
    <col min="11" max="11" width="13.85546875" style="55" hidden="1" customWidth="1" outlineLevel="1"/>
    <col min="12" max="12" width="19.5703125" style="55" hidden="1" customWidth="1" outlineLevel="1"/>
    <col min="13" max="13" width="14.140625" style="55" hidden="1" customWidth="1" outlineLevel="1"/>
    <col min="14" max="14" width="6.42578125" style="55" hidden="1" customWidth="1" outlineLevel="1"/>
    <col min="15" max="15" width="24.85546875" style="55" hidden="1" customWidth="1" outlineLevel="1"/>
    <col min="16" max="16" width="19.7109375" style="55" hidden="1" customWidth="1" outlineLevel="1"/>
    <col min="17" max="17" width="16.5703125" style="55" hidden="1" customWidth="1" outlineLevel="1"/>
    <col min="18" max="18" width="19.140625" style="55" hidden="1" customWidth="1" outlineLevel="1"/>
    <col min="19" max="19" width="14.42578125" style="55" customWidth="1" collapsed="1"/>
    <col min="20" max="20" width="23.42578125" style="105" customWidth="1"/>
    <col min="21" max="21" width="22" style="105" customWidth="1"/>
    <col min="22" max="22" width="20.7109375" style="105" customWidth="1"/>
    <col min="23" max="23" width="0.42578125" style="55" hidden="1" customWidth="1"/>
    <col min="24" max="24" width="150.42578125" style="55" customWidth="1" collapsed="1"/>
    <col min="25" max="25" width="9.85546875" style="55" customWidth="1"/>
    <col min="26" max="26" width="14.140625" style="55" customWidth="1"/>
    <col min="27" max="27" width="15.42578125" style="55" customWidth="1"/>
    <col min="28" max="16384" width="9.140625" style="55"/>
  </cols>
  <sheetData>
    <row r="1" spans="1:24" ht="18.75" x14ac:dyDescent="0.25">
      <c r="A1" s="59"/>
    </row>
    <row r="2" spans="1:24" ht="15" x14ac:dyDescent="0.25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</row>
    <row r="3" spans="1:24" ht="15" x14ac:dyDescent="0.25">
      <c r="A3" s="452" t="s">
        <v>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</row>
    <row r="4" spans="1:24" ht="15" x14ac:dyDescent="0.25">
      <c r="A4" s="452" t="s">
        <v>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</row>
    <row r="5" spans="1:24" ht="15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</row>
    <row r="6" spans="1:24" ht="15" x14ac:dyDescent="0.25">
      <c r="A6" s="450" t="s">
        <v>187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  <c r="X6" s="451"/>
    </row>
    <row r="7" spans="1:24" ht="18.75" x14ac:dyDescent="0.25">
      <c r="A7" s="59"/>
    </row>
    <row r="8" spans="1:24" ht="33.75" customHeight="1" x14ac:dyDescent="0.25">
      <c r="A8" s="383" t="s">
        <v>24</v>
      </c>
      <c r="B8" s="537" t="s">
        <v>4</v>
      </c>
      <c r="C8" s="51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51"/>
      <c r="T8" s="537" t="s">
        <v>23</v>
      </c>
      <c r="U8" s="537"/>
      <c r="V8" s="537"/>
      <c r="W8" s="51"/>
      <c r="X8" s="383" t="s">
        <v>120</v>
      </c>
    </row>
    <row r="9" spans="1:24" ht="30.75" customHeight="1" x14ac:dyDescent="0.25">
      <c r="A9" s="383"/>
      <c r="B9" s="537"/>
      <c r="C9" s="51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51"/>
      <c r="T9" s="106" t="s">
        <v>122</v>
      </c>
      <c r="U9" s="106" t="s">
        <v>179</v>
      </c>
      <c r="V9" s="106" t="s">
        <v>188</v>
      </c>
      <c r="W9" s="51"/>
      <c r="X9" s="383"/>
    </row>
    <row r="10" spans="1:24" ht="21.75" customHeight="1" x14ac:dyDescent="0.25">
      <c r="A10" s="51">
        <v>1</v>
      </c>
      <c r="B10" s="107">
        <v>2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107">
        <v>3</v>
      </c>
      <c r="U10" s="107">
        <v>4</v>
      </c>
      <c r="V10" s="107">
        <v>5</v>
      </c>
      <c r="W10" s="51"/>
      <c r="X10" s="61">
        <v>6</v>
      </c>
    </row>
    <row r="11" spans="1:24" ht="72.75" customHeight="1" x14ac:dyDescent="0.25">
      <c r="A11" s="62">
        <v>1</v>
      </c>
      <c r="B11" s="115" t="s">
        <v>86</v>
      </c>
      <c r="C11" s="63"/>
      <c r="D11" s="53" t="s">
        <v>35</v>
      </c>
      <c r="E11" s="53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108">
        <f>SUM(T12,T25)</f>
        <v>3158500</v>
      </c>
      <c r="U11" s="108">
        <f>SUM(U12,U25)</f>
        <v>3287300</v>
      </c>
      <c r="V11" s="108">
        <f>SUM(V12,V25)</f>
        <v>3419900</v>
      </c>
      <c r="W11" s="63"/>
      <c r="X11" s="54" t="str">
        <f>"Нормативные "&amp;TEXT(B11,"0")&amp;" включают в себя:
нормативные "&amp;TEXT(B12,"0")&amp;";
нормативные "&amp;TEXT(B25,"0")&amp;""</f>
        <v>Нормативные затраты на информационно-коммуникационные технологии включают в себя:
нормативные затраты на приобретение прочих работ и услуг, не относящихся к затратам на услуги связи, аренду и содержание имущества;
нормативные затраты на приобретение материальных запасов в сфере информационно-коммуникационных технологий</v>
      </c>
    </row>
    <row r="12" spans="1:24" ht="81" customHeight="1" x14ac:dyDescent="0.25">
      <c r="A12" s="51" t="s">
        <v>5</v>
      </c>
      <c r="B12" s="116" t="s">
        <v>87</v>
      </c>
      <c r="C12" s="52"/>
      <c r="D12" s="53" t="s">
        <v>35</v>
      </c>
      <c r="E12" s="53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109">
        <f>SUM(T13)</f>
        <v>1591100</v>
      </c>
      <c r="U12" s="109">
        <f t="shared" ref="U12:V13" si="0">SUM(U13)</f>
        <v>1656100</v>
      </c>
      <c r="V12" s="109">
        <f>SUM(V13)</f>
        <v>1723600</v>
      </c>
      <c r="W12" s="52"/>
      <c r="X12" s="54" t="str">
        <f>"Нормативные "&amp;TEXT(B12,"0")&amp;" включают в себя:
нормативные "&amp;TEXT(B13,"0")&amp;""</f>
        <v>Нормативные затраты на приобретение прочих работ и услуг, не относящихся к затратам на услуги связи, аренду и содержание имущества включают в себя:
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v>
      </c>
    </row>
    <row r="13" spans="1:24" ht="72" customHeight="1" x14ac:dyDescent="0.25">
      <c r="A13" s="51" t="s">
        <v>6</v>
      </c>
      <c r="B13" s="116" t="s">
        <v>88</v>
      </c>
      <c r="C13" s="52"/>
      <c r="D13" s="53" t="s">
        <v>35</v>
      </c>
      <c r="E13" s="53" t="s">
        <v>35</v>
      </c>
      <c r="F13" s="423"/>
      <c r="G13" s="424"/>
      <c r="H13" s="424"/>
      <c r="I13" s="424"/>
      <c r="J13" s="424"/>
      <c r="K13" s="424"/>
      <c r="L13" s="424"/>
      <c r="M13" s="424"/>
      <c r="N13" s="424"/>
      <c r="O13" s="424"/>
      <c r="P13" s="424"/>
      <c r="Q13" s="424"/>
      <c r="R13" s="424"/>
      <c r="S13" s="424"/>
      <c r="T13" s="109">
        <f>SUM(T14)</f>
        <v>1591100</v>
      </c>
      <c r="U13" s="109">
        <f t="shared" si="0"/>
        <v>1656100</v>
      </c>
      <c r="V13" s="109">
        <f t="shared" si="0"/>
        <v>1723600</v>
      </c>
      <c r="W13" s="52"/>
      <c r="X13" s="54" t="str">
        <f>"Нормативные "&amp;TEXT(B13,"0")&amp;" включают в себя:
нормативные "&amp;TEXT(B14,"0")&amp;""</f>
        <v>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 включают в себя:
нормативные затраты на оплату услуг по сопровождению и приобретению иного программного обеспечения</v>
      </c>
    </row>
    <row r="14" spans="1:24" ht="63" customHeight="1" x14ac:dyDescent="0.25">
      <c r="A14" s="51" t="s">
        <v>27</v>
      </c>
      <c r="B14" s="116" t="s">
        <v>89</v>
      </c>
      <c r="C14" s="52"/>
      <c r="D14" s="53" t="s">
        <v>35</v>
      </c>
      <c r="E14" s="53" t="s">
        <v>35</v>
      </c>
      <c r="F14" s="423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109">
        <f>SUM(T15,T20)</f>
        <v>1591100</v>
      </c>
      <c r="U14" s="109">
        <f>SUM(U15,U20)</f>
        <v>1656100</v>
      </c>
      <c r="V14" s="109">
        <f>SUM(V15,V20)</f>
        <v>1723600</v>
      </c>
      <c r="W14" s="52"/>
      <c r="X14" s="54" t="str">
        <f>"Нормативные "&amp;TEXT(B14,"0")&amp;" включают в себя:
нормативные "&amp;TEXT(B15,"0")&amp;";
нормативные "&amp;TEXT(B20,"0")&amp;""</f>
        <v>Нормативные затраты на оплату услуг по сопровождению и приобретению иного программного обеспечения включают в себя:
нормативные затраты на оплату услуг по сопровождению и обслуживанию программного комплекса "АРГОС-Налогоплательщик";
нормативные затраты на оплату услуг по сопровождению и приобретению иного программного обеспечения</v>
      </c>
    </row>
    <row r="15" spans="1:24" ht="140.25" customHeight="1" x14ac:dyDescent="0.25">
      <c r="A15" s="383" t="s">
        <v>28</v>
      </c>
      <c r="B15" s="617" t="s">
        <v>90</v>
      </c>
      <c r="C15" s="64"/>
      <c r="D15" s="619" t="s">
        <v>142</v>
      </c>
      <c r="E15" s="619">
        <v>242</v>
      </c>
      <c r="F15" s="380"/>
      <c r="G15" s="380"/>
      <c r="H15" s="380"/>
      <c r="I15" s="380"/>
      <c r="J15" s="380"/>
      <c r="K15" s="380"/>
      <c r="L15" s="380"/>
      <c r="M15" s="380"/>
      <c r="N15" s="380"/>
      <c r="O15" s="380"/>
      <c r="P15" s="380"/>
      <c r="Q15" s="380"/>
      <c r="R15" s="380"/>
      <c r="S15" s="65"/>
      <c r="T15" s="477">
        <f>O17</f>
        <v>494000</v>
      </c>
      <c r="U15" s="477">
        <f>O18</f>
        <v>514200</v>
      </c>
      <c r="V15" s="477">
        <f>O19</f>
        <v>535100</v>
      </c>
      <c r="W15" s="64"/>
      <c r="X15" s="54" t="s">
        <v>175</v>
      </c>
    </row>
    <row r="16" spans="1:24" ht="13.5" customHeight="1" outlineLevel="1" x14ac:dyDescent="0.25">
      <c r="A16" s="437"/>
      <c r="B16" s="618"/>
      <c r="C16" s="64"/>
      <c r="D16" s="437"/>
      <c r="E16" s="620"/>
      <c r="F16" s="61" t="s">
        <v>183</v>
      </c>
      <c r="G16" s="66">
        <v>114</v>
      </c>
      <c r="H16" s="67" t="s">
        <v>62</v>
      </c>
      <c r="I16" s="66">
        <v>4</v>
      </c>
      <c r="J16" s="67" t="s">
        <v>121</v>
      </c>
      <c r="K16" s="66">
        <v>1002.85</v>
      </c>
      <c r="L16" s="67" t="s">
        <v>41</v>
      </c>
      <c r="M16" s="66">
        <f>ROUND((G16*I16*K16),2)</f>
        <v>457299.6</v>
      </c>
      <c r="N16" s="67" t="s">
        <v>37</v>
      </c>
      <c r="O16" s="67"/>
      <c r="P16" s="67"/>
      <c r="Q16" s="67"/>
      <c r="R16" s="65"/>
      <c r="S16" s="65"/>
      <c r="T16" s="477"/>
      <c r="U16" s="477"/>
      <c r="V16" s="477"/>
      <c r="W16" s="64"/>
      <c r="X16" s="54"/>
    </row>
    <row r="17" spans="1:24" ht="20.25" customHeight="1" x14ac:dyDescent="0.25">
      <c r="A17" s="437"/>
      <c r="B17" s="618"/>
      <c r="C17" s="64"/>
      <c r="D17" s="437"/>
      <c r="E17" s="620"/>
      <c r="F17" s="68" t="s">
        <v>150</v>
      </c>
      <c r="G17" s="66">
        <v>114</v>
      </c>
      <c r="H17" s="65" t="s">
        <v>195</v>
      </c>
      <c r="I17" s="69">
        <v>4</v>
      </c>
      <c r="J17" s="67" t="s">
        <v>25</v>
      </c>
      <c r="K17" s="66">
        <v>1083.22</v>
      </c>
      <c r="L17" s="67" t="s">
        <v>41</v>
      </c>
      <c r="M17" s="70">
        <f>K17*G17*I17</f>
        <v>493948.32</v>
      </c>
      <c r="N17" s="71" t="s">
        <v>37</v>
      </c>
      <c r="O17" s="70">
        <f>ROUNDUP((M17),-2)</f>
        <v>494000</v>
      </c>
      <c r="P17" s="71" t="s">
        <v>37</v>
      </c>
      <c r="Q17" s="72"/>
      <c r="R17" s="72"/>
      <c r="S17" s="65"/>
      <c r="T17" s="477"/>
      <c r="U17" s="477"/>
      <c r="V17" s="477"/>
      <c r="W17" s="64"/>
      <c r="X17" s="54" t="str">
        <f>""&amp;TEXT(G17,"00,0")&amp;" пользователей х "&amp;TEXT(I17,"0,0")&amp;" кв. х "&amp;TEXT(ROUND((K17),2),"000,00")&amp;" руб. = "&amp;TEXT(ROUND((M17),2),"0 000,00")&amp;" руб. = "&amp;TEXT(O17,"0 000,00")&amp;" руб."</f>
        <v>114,0 пользователей х 4,0 кв. х 1083,22 руб. = 493 948,32 руб. = 494 000,00 руб.</v>
      </c>
    </row>
    <row r="18" spans="1:24" ht="20.25" customHeight="1" x14ac:dyDescent="0.25">
      <c r="A18" s="437"/>
      <c r="B18" s="618"/>
      <c r="C18" s="64"/>
      <c r="D18" s="437"/>
      <c r="E18" s="620"/>
      <c r="F18" s="68" t="s">
        <v>151</v>
      </c>
      <c r="G18" s="66">
        <v>114</v>
      </c>
      <c r="H18" s="67" t="str">
        <f>H17</f>
        <v xml:space="preserve">руб. х индекс потребительских цен </v>
      </c>
      <c r="I18" s="69">
        <v>4</v>
      </c>
      <c r="J18" s="67" t="s">
        <v>25</v>
      </c>
      <c r="K18" s="69">
        <v>1127.42</v>
      </c>
      <c r="L18" s="67" t="s">
        <v>41</v>
      </c>
      <c r="M18" s="70">
        <f t="shared" ref="M18:M19" si="1">K18*G18*I18</f>
        <v>514103.52</v>
      </c>
      <c r="N18" s="67" t="s">
        <v>41</v>
      </c>
      <c r="O18" s="70">
        <f>ROUNDUP((M18),-2)</f>
        <v>514200</v>
      </c>
      <c r="P18" s="71" t="s">
        <v>37</v>
      </c>
      <c r="Q18" s="72"/>
      <c r="R18" s="72"/>
      <c r="S18" s="65"/>
      <c r="T18" s="477"/>
      <c r="U18" s="477"/>
      <c r="V18" s="477"/>
      <c r="W18" s="64"/>
      <c r="X18" s="54" t="str">
        <f t="shared" ref="X18:X19" si="2">""&amp;TEXT(G18,"00,0")&amp;" пользователей х "&amp;TEXT(I18,"0,0")&amp;" кв. х "&amp;TEXT(ROUND((K18),2),"000,00")&amp;" руб. = "&amp;TEXT(ROUND((M18),2),"0 000,00")&amp;" руб. = "&amp;TEXT(O18,"0 000,00")&amp;" руб."</f>
        <v>114,0 пользователей х 4,0 кв. х 1127,42 руб. = 514 103,52 руб. = 514 200,00 руб.</v>
      </c>
    </row>
    <row r="19" spans="1:24" ht="20.25" customHeight="1" x14ac:dyDescent="0.25">
      <c r="A19" s="437"/>
      <c r="B19" s="618"/>
      <c r="C19" s="64"/>
      <c r="D19" s="437"/>
      <c r="E19" s="620"/>
      <c r="F19" s="68" t="s">
        <v>193</v>
      </c>
      <c r="G19" s="66">
        <v>114</v>
      </c>
      <c r="H19" s="67" t="str">
        <f>H17</f>
        <v xml:space="preserve">руб. х индекс потребительских цен </v>
      </c>
      <c r="I19" s="69">
        <v>4</v>
      </c>
      <c r="J19" s="67" t="s">
        <v>25</v>
      </c>
      <c r="K19" s="69">
        <f>K18*1.0408</f>
        <v>1173.4187360000001</v>
      </c>
      <c r="L19" s="67" t="s">
        <v>41</v>
      </c>
      <c r="M19" s="70">
        <f t="shared" si="1"/>
        <v>535078.943616</v>
      </c>
      <c r="N19" s="67" t="s">
        <v>25</v>
      </c>
      <c r="O19" s="70">
        <f>ROUNDUP((M19),-2)</f>
        <v>535100</v>
      </c>
      <c r="P19" s="71" t="s">
        <v>37</v>
      </c>
      <c r="Q19" s="70">
        <f>ROUNDUP((O19),-2)</f>
        <v>535100</v>
      </c>
      <c r="R19" s="71" t="s">
        <v>37</v>
      </c>
      <c r="S19" s="65"/>
      <c r="T19" s="478"/>
      <c r="U19" s="478"/>
      <c r="V19" s="478"/>
      <c r="W19" s="64"/>
      <c r="X19" s="54" t="str">
        <f t="shared" si="2"/>
        <v>114,0 пользователей х 4,0 кв. х 1173,42 руб. = 535 078,94 руб. = 535 100,00 руб.</v>
      </c>
    </row>
    <row r="20" spans="1:24" ht="102" customHeight="1" x14ac:dyDescent="0.25">
      <c r="A20" s="383" t="s">
        <v>29</v>
      </c>
      <c r="B20" s="617" t="s">
        <v>89</v>
      </c>
      <c r="C20" s="64"/>
      <c r="D20" s="619" t="s">
        <v>143</v>
      </c>
      <c r="E20" s="619">
        <v>242</v>
      </c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/>
      <c r="S20" s="66"/>
      <c r="T20" s="477">
        <f>M22</f>
        <v>1097100</v>
      </c>
      <c r="U20" s="477">
        <f>M23</f>
        <v>1141900</v>
      </c>
      <c r="V20" s="477">
        <f>M24</f>
        <v>1188500</v>
      </c>
      <c r="W20" s="56"/>
      <c r="X20" s="54" t="s">
        <v>65</v>
      </c>
    </row>
    <row r="21" spans="1:24" ht="17.25" customHeight="1" outlineLevel="1" x14ac:dyDescent="0.25">
      <c r="A21" s="437"/>
      <c r="B21" s="618"/>
      <c r="C21" s="64"/>
      <c r="D21" s="437"/>
      <c r="E21" s="620"/>
      <c r="F21" s="61" t="s">
        <v>144</v>
      </c>
      <c r="G21" s="66">
        <v>480</v>
      </c>
      <c r="H21" s="67" t="s">
        <v>64</v>
      </c>
      <c r="I21" s="66">
        <v>2200</v>
      </c>
      <c r="J21" s="67" t="s">
        <v>41</v>
      </c>
      <c r="K21" s="66">
        <f>ROUND((G21*I21),2)</f>
        <v>1056000</v>
      </c>
      <c r="L21" s="67" t="s">
        <v>37</v>
      </c>
      <c r="M21" s="67"/>
      <c r="N21" s="67"/>
      <c r="O21" s="67"/>
      <c r="P21" s="67"/>
      <c r="Q21" s="67"/>
      <c r="R21" s="65"/>
      <c r="S21" s="65"/>
      <c r="T21" s="477"/>
      <c r="U21" s="477"/>
      <c r="V21" s="477"/>
      <c r="W21" s="64"/>
      <c r="X21" s="54"/>
    </row>
    <row r="22" spans="1:24" ht="22.5" customHeight="1" x14ac:dyDescent="0.25">
      <c r="A22" s="437"/>
      <c r="B22" s="618"/>
      <c r="C22" s="64"/>
      <c r="D22" s="437"/>
      <c r="E22" s="620"/>
      <c r="F22" s="68" t="s">
        <v>150</v>
      </c>
      <c r="G22" s="66">
        <v>480</v>
      </c>
      <c r="H22" s="65" t="s">
        <v>137</v>
      </c>
      <c r="I22" s="69">
        <v>2285.58</v>
      </c>
      <c r="J22" s="67" t="s">
        <v>25</v>
      </c>
      <c r="K22" s="66">
        <f>ROUND((G22*I22),2)</f>
        <v>1097078.3999999999</v>
      </c>
      <c r="L22" s="67" t="s">
        <v>41</v>
      </c>
      <c r="M22" s="70">
        <f>ROUNDUP((K22),-2)</f>
        <v>1097100</v>
      </c>
      <c r="N22" s="71" t="s">
        <v>37</v>
      </c>
      <c r="O22" s="72"/>
      <c r="P22" s="72"/>
      <c r="Q22" s="72"/>
      <c r="R22" s="72"/>
      <c r="S22" s="65"/>
      <c r="T22" s="477"/>
      <c r="U22" s="477"/>
      <c r="V22" s="477"/>
      <c r="W22" s="64"/>
      <c r="X22" s="54" t="str">
        <f>""&amp;TEXT(G22,"000,0")&amp;" часов х "&amp;TEXT(ROUND((I22),2),"0 000,00")&amp;" руб. = "&amp;TEXT(ROUND((K22),2),"0 000,00")&amp;" руб. = "&amp;TEXT(M22,"0 000,00")&amp;" руб."</f>
        <v>480,0 часов х 2 285,58 руб. = 1 097 078,40 руб. = 1 097 100,00 руб.</v>
      </c>
    </row>
    <row r="23" spans="1:24" ht="22.5" customHeight="1" x14ac:dyDescent="0.25">
      <c r="A23" s="437"/>
      <c r="B23" s="618"/>
      <c r="C23" s="64"/>
      <c r="D23" s="437"/>
      <c r="E23" s="620"/>
      <c r="F23" s="68" t="s">
        <v>151</v>
      </c>
      <c r="G23" s="66">
        <v>480</v>
      </c>
      <c r="H23" s="67" t="str">
        <f>H22</f>
        <v>руб. х индекс потребительских цен 2020 года</v>
      </c>
      <c r="I23" s="69">
        <v>2378.83</v>
      </c>
      <c r="J23" s="67" t="s">
        <v>25</v>
      </c>
      <c r="K23" s="66">
        <f t="shared" ref="K23:K24" si="3">ROUND((G23*I23),2)</f>
        <v>1141838.3999999999</v>
      </c>
      <c r="L23" s="67" t="s">
        <v>41</v>
      </c>
      <c r="M23" s="70">
        <f t="shared" ref="M23:M24" si="4">ROUNDUP((K23),-2)</f>
        <v>1141900</v>
      </c>
      <c r="N23" s="71" t="s">
        <v>37</v>
      </c>
      <c r="O23" s="70"/>
      <c r="P23" s="71"/>
      <c r="Q23" s="72"/>
      <c r="R23" s="72"/>
      <c r="S23" s="65"/>
      <c r="T23" s="477"/>
      <c r="U23" s="477"/>
      <c r="V23" s="477"/>
      <c r="W23" s="64"/>
      <c r="X23" s="54" t="str">
        <f t="shared" ref="X23:X24" si="5">""&amp;TEXT(G23,"000,0")&amp;" часов х "&amp;TEXT(ROUND((I23),2),"0 000,00")&amp;" руб. = "&amp;TEXT(ROUND((K23),2),"0 000,00")&amp;" руб. = "&amp;TEXT(M23,"0 000,00")&amp;" руб."</f>
        <v>480,0 часов х 2 378,83 руб. = 1 141 838,40 руб. = 1 141 900,00 руб.</v>
      </c>
    </row>
    <row r="24" spans="1:24" ht="22.5" customHeight="1" x14ac:dyDescent="0.25">
      <c r="A24" s="437"/>
      <c r="B24" s="618"/>
      <c r="C24" s="64"/>
      <c r="D24" s="437"/>
      <c r="E24" s="620"/>
      <c r="F24" s="68" t="s">
        <v>193</v>
      </c>
      <c r="G24" s="66">
        <v>480</v>
      </c>
      <c r="H24" s="67" t="str">
        <f>H22</f>
        <v>руб. х индекс потребительских цен 2020 года</v>
      </c>
      <c r="I24" s="69">
        <f>I23*1.0408</f>
        <v>2475.8862639999998</v>
      </c>
      <c r="J24" s="67" t="s">
        <v>25</v>
      </c>
      <c r="K24" s="66">
        <f t="shared" si="3"/>
        <v>1188425.4099999999</v>
      </c>
      <c r="L24" s="67" t="s">
        <v>41</v>
      </c>
      <c r="M24" s="70">
        <f t="shared" si="4"/>
        <v>1188500</v>
      </c>
      <c r="N24" s="71" t="s">
        <v>37</v>
      </c>
      <c r="O24" s="66"/>
      <c r="P24" s="67"/>
      <c r="Q24" s="70"/>
      <c r="R24" s="71" t="s">
        <v>37</v>
      </c>
      <c r="S24" s="65"/>
      <c r="T24" s="478"/>
      <c r="U24" s="478"/>
      <c r="V24" s="478"/>
      <c r="W24" s="64"/>
      <c r="X24" s="54" t="str">
        <f t="shared" si="5"/>
        <v>480,0 часов х 2 475,89 руб. = 1 188 425,41 руб. = 1 188 500,00 руб.</v>
      </c>
    </row>
    <row r="25" spans="1:24" ht="45" x14ac:dyDescent="0.25">
      <c r="A25" s="51" t="s">
        <v>7</v>
      </c>
      <c r="B25" s="116" t="s">
        <v>92</v>
      </c>
      <c r="C25" s="52"/>
      <c r="D25" s="53" t="s">
        <v>35</v>
      </c>
      <c r="E25" s="53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109">
        <f>SUM(T26,T30)</f>
        <v>1567400</v>
      </c>
      <c r="U25" s="109">
        <f>SUM(U26,U30)</f>
        <v>1631200</v>
      </c>
      <c r="V25" s="109">
        <f>SUM(V26,V30)</f>
        <v>1696300</v>
      </c>
      <c r="W25" s="52"/>
      <c r="X25" s="54" t="str">
        <f>"Нормативные "&amp;TEXT(B25,"0")&amp;" включают в себя:
нормативные "&amp;TEXT(B26,"0")&amp;";
нормативные "&amp;TEXT(B30,"0")&amp;""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26" spans="1:24" ht="84" customHeight="1" x14ac:dyDescent="0.25">
      <c r="A26" s="383" t="s">
        <v>8</v>
      </c>
      <c r="B26" s="617" t="s">
        <v>91</v>
      </c>
      <c r="C26" s="52"/>
      <c r="D26" s="619">
        <v>346</v>
      </c>
      <c r="E26" s="619">
        <v>242</v>
      </c>
      <c r="F26" s="380" t="s">
        <v>152</v>
      </c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65"/>
      <c r="T26" s="477">
        <f>M27</f>
        <v>82200</v>
      </c>
      <c r="U26" s="477">
        <f>M28</f>
        <v>82200</v>
      </c>
      <c r="V26" s="477">
        <f>M29</f>
        <v>82200</v>
      </c>
      <c r="W26" s="52"/>
      <c r="X26" s="54" t="s">
        <v>39</v>
      </c>
    </row>
    <row r="27" spans="1:24" ht="22.5" customHeight="1" x14ac:dyDescent="0.25">
      <c r="A27" s="383"/>
      <c r="B27" s="618"/>
      <c r="C27" s="52"/>
      <c r="D27" s="437"/>
      <c r="E27" s="437"/>
      <c r="F27" s="68" t="s">
        <v>150</v>
      </c>
      <c r="G27" s="66">
        <v>1</v>
      </c>
      <c r="H27" s="67" t="s">
        <v>40</v>
      </c>
      <c r="I27" s="66">
        <v>8214565.8300000001</v>
      </c>
      <c r="J27" s="67" t="s">
        <v>41</v>
      </c>
      <c r="K27" s="66">
        <f>ROUND((G27%*I27),2)</f>
        <v>82145.66</v>
      </c>
      <c r="L27" s="67" t="s">
        <v>41</v>
      </c>
      <c r="M27" s="70">
        <f>ROUNDUP((K27),-2)</f>
        <v>82200</v>
      </c>
      <c r="N27" s="71" t="s">
        <v>37</v>
      </c>
      <c r="O27" s="61"/>
      <c r="P27" s="61"/>
      <c r="Q27" s="61"/>
      <c r="R27" s="61"/>
      <c r="S27" s="65"/>
      <c r="T27" s="477"/>
      <c r="U27" s="477"/>
      <c r="V27" s="477"/>
      <c r="W27" s="52"/>
      <c r="X27" s="54" t="str">
        <f>"норматив "&amp;TEXT(G27,"0,0")&amp;" % х "&amp;TEXT(I27,"0 000,00")&amp;" руб. = "&amp;TEXT(K27,"0 000,00")&amp;" руб. = "&amp;TEXT(M27,"0 000,00")&amp;" руб."</f>
        <v>норматив 1,0 % х 8 214 565,83 руб. = 82 145,66 руб. = 82 200,00 руб.</v>
      </c>
    </row>
    <row r="28" spans="1:24" ht="20.25" customHeight="1" x14ac:dyDescent="0.25">
      <c r="A28" s="383"/>
      <c r="B28" s="618"/>
      <c r="C28" s="52"/>
      <c r="D28" s="437"/>
      <c r="E28" s="437"/>
      <c r="F28" s="68" t="s">
        <v>151</v>
      </c>
      <c r="G28" s="66">
        <v>1</v>
      </c>
      <c r="H28" s="67" t="s">
        <v>40</v>
      </c>
      <c r="I28" s="66">
        <f>I27</f>
        <v>8214565.8300000001</v>
      </c>
      <c r="J28" s="67" t="s">
        <v>41</v>
      </c>
      <c r="K28" s="66">
        <f>ROUND((G28%*I28),2)</f>
        <v>82145.66</v>
      </c>
      <c r="L28" s="67" t="s">
        <v>41</v>
      </c>
      <c r="M28" s="70">
        <f t="shared" ref="M28:M29" si="6">ROUNDUP((K28),-2)</f>
        <v>82200</v>
      </c>
      <c r="N28" s="71" t="s">
        <v>37</v>
      </c>
      <c r="O28" s="61"/>
      <c r="P28" s="61"/>
      <c r="Q28" s="61"/>
      <c r="R28" s="61"/>
      <c r="S28" s="65"/>
      <c r="T28" s="477"/>
      <c r="U28" s="477"/>
      <c r="V28" s="477"/>
      <c r="W28" s="52"/>
      <c r="X28" s="54" t="str">
        <f>"норматив "&amp;TEXT(G28,"0,0")&amp;" % х "&amp;TEXT(I28,"0 000,00")&amp;" руб. = "&amp;TEXT(K28,"0 000,00")&amp;" руб. = "&amp;TEXT(M28,"0 000,00")&amp;" руб."</f>
        <v>норматив 1,0 % х 8 214 565,83 руб. = 82 145,66 руб. = 82 200,00 руб.</v>
      </c>
    </row>
    <row r="29" spans="1:24" ht="21.75" customHeight="1" x14ac:dyDescent="0.25">
      <c r="A29" s="383"/>
      <c r="B29" s="618"/>
      <c r="C29" s="52"/>
      <c r="D29" s="437"/>
      <c r="E29" s="437"/>
      <c r="F29" s="68" t="s">
        <v>193</v>
      </c>
      <c r="G29" s="66">
        <v>1</v>
      </c>
      <c r="H29" s="67" t="s">
        <v>40</v>
      </c>
      <c r="I29" s="66">
        <f>I27</f>
        <v>8214565.8300000001</v>
      </c>
      <c r="J29" s="67" t="s">
        <v>41</v>
      </c>
      <c r="K29" s="66">
        <f>ROUND((G29%*I29),2)</f>
        <v>82145.66</v>
      </c>
      <c r="L29" s="67" t="s">
        <v>41</v>
      </c>
      <c r="M29" s="70">
        <f t="shared" si="6"/>
        <v>82200</v>
      </c>
      <c r="N29" s="71" t="s">
        <v>37</v>
      </c>
      <c r="O29" s="61"/>
      <c r="P29" s="61"/>
      <c r="Q29" s="61"/>
      <c r="R29" s="61"/>
      <c r="S29" s="65"/>
      <c r="T29" s="477"/>
      <c r="U29" s="477"/>
      <c r="V29" s="477"/>
      <c r="W29" s="52"/>
      <c r="X29" s="54" t="str">
        <f>"норматив "&amp;TEXT(G29,"0,0")&amp;" % х "&amp;TEXT(I29,"0 000,00")&amp;" руб. = "&amp;TEXT(K29,"0 000,00")&amp;" руб. = "&amp;TEXT(M29,"0 000,00")&amp;" руб."</f>
        <v>норматив 1,0 % х 8 214 565,83 руб. = 82 145,66 руб. = 82 200,00 руб.</v>
      </c>
    </row>
    <row r="30" spans="1:24" ht="162.75" customHeight="1" x14ac:dyDescent="0.25">
      <c r="A30" s="383" t="s">
        <v>32</v>
      </c>
      <c r="B30" s="617" t="s">
        <v>123</v>
      </c>
      <c r="C30" s="64"/>
      <c r="D30" s="619">
        <v>346</v>
      </c>
      <c r="E30" s="619">
        <v>242</v>
      </c>
      <c r="F30" s="380" t="s">
        <v>47</v>
      </c>
      <c r="G30" s="380"/>
      <c r="H30" s="380"/>
      <c r="I30" s="380"/>
      <c r="J30" s="380"/>
      <c r="K30" s="380"/>
      <c r="L30" s="380"/>
      <c r="M30" s="380"/>
      <c r="N30" s="380"/>
      <c r="O30" s="380"/>
      <c r="P30" s="380"/>
      <c r="Q30" s="380"/>
      <c r="R30" s="380"/>
      <c r="S30" s="65"/>
      <c r="T30" s="477">
        <f>M32</f>
        <v>1485200</v>
      </c>
      <c r="U30" s="477">
        <f>M34</f>
        <v>1549000</v>
      </c>
      <c r="V30" s="477">
        <f>M36</f>
        <v>1614100</v>
      </c>
      <c r="W30" s="64"/>
      <c r="X30" s="54" t="s">
        <v>46</v>
      </c>
    </row>
    <row r="31" spans="1:24" ht="15" x14ac:dyDescent="0.25">
      <c r="A31" s="383"/>
      <c r="B31" s="618"/>
      <c r="C31" s="64"/>
      <c r="D31" s="437"/>
      <c r="E31" s="437"/>
      <c r="F31" s="68" t="s">
        <v>155</v>
      </c>
      <c r="G31" s="66">
        <v>23243</v>
      </c>
      <c r="H31" s="67" t="s">
        <v>42</v>
      </c>
      <c r="I31" s="66">
        <v>213</v>
      </c>
      <c r="J31" s="67" t="s">
        <v>45</v>
      </c>
      <c r="K31" s="66">
        <v>5</v>
      </c>
      <c r="L31" s="67" t="s">
        <v>43</v>
      </c>
      <c r="M31" s="66">
        <v>0</v>
      </c>
      <c r="N31" s="67" t="s">
        <v>44</v>
      </c>
      <c r="O31" s="66">
        <f>ROUND((G31*(I31/K31+M31)),2)</f>
        <v>990151.8</v>
      </c>
      <c r="P31" s="67" t="s">
        <v>37</v>
      </c>
      <c r="Q31" s="67"/>
      <c r="R31" s="65"/>
      <c r="S31" s="65"/>
      <c r="T31" s="477"/>
      <c r="U31" s="477"/>
      <c r="V31" s="477"/>
      <c r="W31" s="64"/>
      <c r="X31" s="459" t="str">
        <f>"норматив "&amp;TEXT(G32,"0,0")&amp;" % х (норматив "&amp;TEXT(G31,"0 000,00")&amp;" руб. х ("&amp;TEXT(I31,"000,00")&amp;" шт.ед. : срок "&amp;TEXT(K31,"0")&amp;" лет + "&amp;TEXT(M31,"0,00")&amp;" шт.ед.) = "&amp;TEXT(O31,"0 000,00")&amp;" руб.) = "&amp;TEXT(K32,"0 000,00")&amp;" руб. = "&amp;TEXT(M32,"0 000,00")&amp;" руб."</f>
        <v>норматив 150,0 % х (норматив 23 243,00 руб. х (213,00 шт.ед. : срок 5 лет + 0,00 шт.ед.) = 990 151,80 руб.) = 1 485 227,70 руб. = 1 485 200,00 руб.</v>
      </c>
    </row>
    <row r="32" spans="1:24" ht="15" x14ac:dyDescent="0.25">
      <c r="A32" s="383"/>
      <c r="B32" s="618"/>
      <c r="C32" s="64"/>
      <c r="D32" s="437"/>
      <c r="E32" s="437"/>
      <c r="F32" s="68" t="s">
        <v>198</v>
      </c>
      <c r="G32" s="66">
        <v>150</v>
      </c>
      <c r="H32" s="67" t="s">
        <v>40</v>
      </c>
      <c r="I32" s="66">
        <f>O31</f>
        <v>990151.8</v>
      </c>
      <c r="J32" s="67" t="s">
        <v>41</v>
      </c>
      <c r="K32" s="66">
        <f>ROUND((G32%*I32),2)</f>
        <v>1485227.7</v>
      </c>
      <c r="L32" s="67" t="s">
        <v>41</v>
      </c>
      <c r="M32" s="70">
        <f>ROUNDDOWN((K32),-2)</f>
        <v>1485200</v>
      </c>
      <c r="N32" s="71" t="s">
        <v>37</v>
      </c>
      <c r="O32" s="61"/>
      <c r="P32" s="61"/>
      <c r="Q32" s="61"/>
      <c r="R32" s="61"/>
      <c r="S32" s="65"/>
      <c r="T32" s="477"/>
      <c r="U32" s="477"/>
      <c r="V32" s="477"/>
      <c r="W32" s="64"/>
      <c r="X32" s="460"/>
    </row>
    <row r="33" spans="1:24" ht="15" x14ac:dyDescent="0.25">
      <c r="A33" s="383"/>
      <c r="B33" s="618"/>
      <c r="C33" s="64"/>
      <c r="D33" s="437"/>
      <c r="E33" s="437"/>
      <c r="F33" s="68" t="s">
        <v>156</v>
      </c>
      <c r="G33" s="66">
        <v>24242</v>
      </c>
      <c r="H33" s="67" t="s">
        <v>42</v>
      </c>
      <c r="I33" s="66">
        <v>213</v>
      </c>
      <c r="J33" s="67" t="s">
        <v>45</v>
      </c>
      <c r="K33" s="66">
        <v>5</v>
      </c>
      <c r="L33" s="67" t="s">
        <v>43</v>
      </c>
      <c r="M33" s="66">
        <v>0</v>
      </c>
      <c r="N33" s="67" t="s">
        <v>44</v>
      </c>
      <c r="O33" s="66">
        <f>ROUND((G33*(I33/K33+M33)),2)</f>
        <v>1032709.2</v>
      </c>
      <c r="P33" s="67" t="s">
        <v>37</v>
      </c>
      <c r="Q33" s="67"/>
      <c r="R33" s="65"/>
      <c r="S33" s="65"/>
      <c r="T33" s="477"/>
      <c r="U33" s="477"/>
      <c r="V33" s="477"/>
      <c r="W33" s="64"/>
      <c r="X33" s="459" t="str">
        <f>"норматив "&amp;TEXT(G34,"0,0")&amp;" % х (норматив "&amp;TEXT(G33,"0 000,00")&amp;" руб. х ("&amp;TEXT(I33,"000,00")&amp;" шт.ед. : срок "&amp;TEXT(K33,"0")&amp;" лет + "&amp;TEXT(M33,"0,00")&amp;" шт.ед.) = "&amp;TEXT(O33,"0 000,00")&amp;" руб.) = "&amp;TEXT(K34,"0 000,00")&amp;" руб. = "&amp;TEXT(M34,"0 000,00")&amp;" руб."</f>
        <v>норматив 150,0 % х (норматив 24 242,00 руб. х (213,00 шт.ед. : срок 5 лет + 0,00 шт.ед.) = 1 032 709,20 руб.) = 1 549 063,80 руб. = 1 549 000,00 руб.</v>
      </c>
    </row>
    <row r="34" spans="1:24" ht="15" x14ac:dyDescent="0.25">
      <c r="A34" s="383"/>
      <c r="B34" s="618"/>
      <c r="C34" s="64"/>
      <c r="D34" s="437"/>
      <c r="E34" s="437"/>
      <c r="F34" s="68" t="s">
        <v>151</v>
      </c>
      <c r="G34" s="66">
        <v>150</v>
      </c>
      <c r="H34" s="67" t="s">
        <v>40</v>
      </c>
      <c r="I34" s="66">
        <f>O33</f>
        <v>1032709.2</v>
      </c>
      <c r="J34" s="67" t="s">
        <v>41</v>
      </c>
      <c r="K34" s="66">
        <f>ROUND((G34%*I34),2)</f>
        <v>1549063.8</v>
      </c>
      <c r="L34" s="67" t="s">
        <v>41</v>
      </c>
      <c r="M34" s="70">
        <f>ROUNDDOWN((K34),-2)</f>
        <v>1549000</v>
      </c>
      <c r="N34" s="71" t="s">
        <v>37</v>
      </c>
      <c r="O34" s="61"/>
      <c r="P34" s="61"/>
      <c r="Q34" s="61"/>
      <c r="R34" s="61"/>
      <c r="S34" s="65"/>
      <c r="T34" s="638"/>
      <c r="U34" s="638"/>
      <c r="V34" s="638"/>
      <c r="W34" s="64"/>
      <c r="X34" s="460"/>
    </row>
    <row r="35" spans="1:24" ht="15" x14ac:dyDescent="0.25">
      <c r="A35" s="383"/>
      <c r="B35" s="618"/>
      <c r="C35" s="64"/>
      <c r="D35" s="437"/>
      <c r="E35" s="437"/>
      <c r="F35" s="68" t="s">
        <v>199</v>
      </c>
      <c r="G35" s="66">
        <v>25260</v>
      </c>
      <c r="H35" s="67" t="s">
        <v>42</v>
      </c>
      <c r="I35" s="66">
        <v>213</v>
      </c>
      <c r="J35" s="67" t="s">
        <v>45</v>
      </c>
      <c r="K35" s="66">
        <v>5</v>
      </c>
      <c r="L35" s="67" t="s">
        <v>43</v>
      </c>
      <c r="M35" s="66">
        <v>0</v>
      </c>
      <c r="N35" s="67" t="s">
        <v>44</v>
      </c>
      <c r="O35" s="66">
        <f>ROUND((G35*(I35/K35+M35)),2)</f>
        <v>1076076</v>
      </c>
      <c r="P35" s="67" t="s">
        <v>37</v>
      </c>
      <c r="Q35" s="67"/>
      <c r="R35" s="65"/>
      <c r="S35" s="61"/>
      <c r="T35" s="638"/>
      <c r="U35" s="638"/>
      <c r="V35" s="638"/>
      <c r="W35" s="64"/>
      <c r="X35" s="459" t="str">
        <f>"норматив "&amp;TEXT(G36,"0,0")&amp;" % х (норматив "&amp;TEXT(G35,"0 000,00")&amp;" руб. х ("&amp;TEXT(I35,"000,00")&amp;" шт.ед. : срок "&amp;TEXT(K35,"0")&amp;" лет + "&amp;TEXT(M35,"0,00")&amp;" шт.ед.) = "&amp;TEXT(O35,"0 000,00")&amp;" руб.) = "&amp;TEXT(K36,"0 000,00")&amp;" руб. = "&amp;TEXT(M36,"0 000,00")&amp;" руб."</f>
        <v>норматив 150,0 % х (норматив 25 260,00 руб. х (213,00 шт.ед. : срок 5 лет + 0,00 шт.ед.) = 1 076 076,00 руб.) = 1 614 114,00 руб. = 1 614 100,00 руб.</v>
      </c>
    </row>
    <row r="36" spans="1:24" ht="21" customHeight="1" x14ac:dyDescent="0.25">
      <c r="A36" s="383"/>
      <c r="B36" s="618"/>
      <c r="C36" s="52"/>
      <c r="D36" s="437"/>
      <c r="E36" s="437"/>
      <c r="F36" s="68" t="s">
        <v>193</v>
      </c>
      <c r="G36" s="66">
        <v>150</v>
      </c>
      <c r="H36" s="67" t="s">
        <v>40</v>
      </c>
      <c r="I36" s="66">
        <f>O35</f>
        <v>1076076</v>
      </c>
      <c r="J36" s="67" t="s">
        <v>41</v>
      </c>
      <c r="K36" s="66">
        <f>ROUND((G36%*I36),2)</f>
        <v>1614114</v>
      </c>
      <c r="L36" s="67" t="s">
        <v>41</v>
      </c>
      <c r="M36" s="70">
        <f>ROUNDDOWN((K36),-2)</f>
        <v>1614100</v>
      </c>
      <c r="N36" s="71" t="s">
        <v>37</v>
      </c>
      <c r="O36" s="61"/>
      <c r="P36" s="61"/>
      <c r="Q36" s="61"/>
      <c r="R36" s="61"/>
      <c r="S36" s="65"/>
      <c r="T36" s="638"/>
      <c r="U36" s="638"/>
      <c r="V36" s="638"/>
      <c r="W36" s="52"/>
      <c r="X36" s="460"/>
    </row>
    <row r="37" spans="1:24" ht="135" x14ac:dyDescent="0.25">
      <c r="A37" s="62">
        <v>2</v>
      </c>
      <c r="B37" s="115" t="s">
        <v>118</v>
      </c>
      <c r="C37" s="63"/>
      <c r="D37" s="53" t="s">
        <v>35</v>
      </c>
      <c r="E37" s="53" t="s">
        <v>35</v>
      </c>
      <c r="F37" s="439"/>
      <c r="G37" s="424"/>
      <c r="H37" s="424"/>
      <c r="I37" s="424"/>
      <c r="J37" s="424"/>
      <c r="K37" s="424"/>
      <c r="L37" s="424"/>
      <c r="M37" s="424"/>
      <c r="N37" s="424"/>
      <c r="O37" s="424"/>
      <c r="P37" s="424"/>
      <c r="Q37" s="424"/>
      <c r="R37" s="424"/>
      <c r="S37" s="424"/>
      <c r="T37" s="108">
        <f>SUM(T38,T85,T113,T128,T152)</f>
        <v>10303200</v>
      </c>
      <c r="U37" s="108">
        <f>SUM(U38,U85,U113,U128,U152)</f>
        <v>10730500</v>
      </c>
      <c r="V37" s="108">
        <f>SUM(V38,V85,V113,V128,V152)</f>
        <v>11177500</v>
      </c>
      <c r="W37" s="63"/>
      <c r="X37" s="54" t="str">
        <f>"Нормативные "&amp;TEXT(B37,"0")&amp;" включают в себя:
нормативные "&amp;TEXT(B38,"0")&amp;";
нормативные "&amp;TEXT(B85,"0")&amp;" "&amp;TEXT(B86,"0")&amp;";
нормативные "&amp;TEXT(B113,"0")&amp;";
нормативные "&amp;TEXT(B128,"0")&amp;";
нормативные "&amp;TEXT(B152,"0")&amp;""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38" spans="1:24" ht="59.25" customHeight="1" x14ac:dyDescent="0.25">
      <c r="A38" s="51" t="s">
        <v>9</v>
      </c>
      <c r="B38" s="116" t="s">
        <v>117</v>
      </c>
      <c r="C38" s="52"/>
      <c r="D38" s="53" t="s">
        <v>35</v>
      </c>
      <c r="E38" s="53" t="s">
        <v>35</v>
      </c>
      <c r="F38" s="423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108">
        <f>SUM(T39,T55)</f>
        <v>316800</v>
      </c>
      <c r="U38" s="108">
        <f t="shared" ref="U38:V38" si="7">SUM(U39,U55)</f>
        <v>329800</v>
      </c>
      <c r="V38" s="108">
        <f t="shared" si="7"/>
        <v>343200</v>
      </c>
      <c r="W38" s="52"/>
      <c r="X38" s="54" t="str">
        <f>"Нормативные "&amp;TEXT(B38,"0")&amp;" включают в себя:
нормативные "&amp;TEXT(B39,"0")&amp;";
нормативные "&amp;TEXT(B55,"0")&amp;""</f>
        <v>Нормативные затраты на содержание имущества включают в себя:
нормативные затраты на техническое обслуживание и ремонт транспортных средств;
нормативные затраты на техническое обслуживание и регламентно-профилактический ремонт иного оборудования</v>
      </c>
    </row>
    <row r="39" spans="1:24" ht="66.75" customHeight="1" x14ac:dyDescent="0.25">
      <c r="A39" s="74" t="s">
        <v>10</v>
      </c>
      <c r="B39" s="118" t="s">
        <v>112</v>
      </c>
      <c r="C39" s="52"/>
      <c r="D39" s="53" t="s">
        <v>35</v>
      </c>
      <c r="E39" s="53" t="s">
        <v>35</v>
      </c>
      <c r="F39" s="423"/>
      <c r="G39" s="424"/>
      <c r="H39" s="424"/>
      <c r="I39" s="424"/>
      <c r="J39" s="424"/>
      <c r="K39" s="424"/>
      <c r="L39" s="424"/>
      <c r="M39" s="424"/>
      <c r="N39" s="424"/>
      <c r="O39" s="424"/>
      <c r="P39" s="424"/>
      <c r="Q39" s="424"/>
      <c r="R39" s="424"/>
      <c r="S39" s="424"/>
      <c r="T39" s="109">
        <f>SUM(T40,T45,T50)</f>
        <v>16900</v>
      </c>
      <c r="U39" s="109">
        <f t="shared" ref="U39:V39" si="8">SUM(U40,U45,U50)</f>
        <v>17600</v>
      </c>
      <c r="V39" s="109">
        <f t="shared" si="8"/>
        <v>18300</v>
      </c>
      <c r="W39" s="52"/>
      <c r="X39" s="54" t="str">
        <f>"Нормативные "&amp;TEXT(B39,"0")&amp;" включают в себя:
нормативные "&amp;TEXT(B40,"0")&amp;"; нормативные "&amp;TEXT(B77,"0")&amp;";
нормативные "&amp;TEXT(B50,"0")&amp;""</f>
        <v>Нормативные затраты на техническое обслуживание и ремонт транспортных средств включают в себя:
нормативные затраты на техническое обслуживание автомобиля; нормативные иные затраты на техническое обслуживание и содержание имущества;
нормативные затраты на ремонт автомобиля</v>
      </c>
    </row>
    <row r="40" spans="1:24" ht="120" customHeight="1" x14ac:dyDescent="0.25">
      <c r="A40" s="383" t="s">
        <v>162</v>
      </c>
      <c r="B40" s="635" t="s">
        <v>113</v>
      </c>
      <c r="C40" s="64"/>
      <c r="D40" s="619">
        <v>225</v>
      </c>
      <c r="E40" s="619">
        <v>244</v>
      </c>
      <c r="F40" s="380" t="s">
        <v>182</v>
      </c>
      <c r="G40" s="380"/>
      <c r="H40" s="380"/>
      <c r="I40" s="380"/>
      <c r="J40" s="380"/>
      <c r="K40" s="380"/>
      <c r="L40" s="380"/>
      <c r="M40" s="380"/>
      <c r="N40" s="380"/>
      <c r="O40" s="380"/>
      <c r="P40" s="380"/>
      <c r="Q40" s="380"/>
      <c r="R40" s="380"/>
      <c r="S40" s="65"/>
      <c r="T40" s="477">
        <f>O42</f>
        <v>13700</v>
      </c>
      <c r="U40" s="477">
        <f>O43</f>
        <v>14200</v>
      </c>
      <c r="V40" s="477">
        <f>O44</f>
        <v>14800</v>
      </c>
      <c r="W40" s="64"/>
      <c r="X40" s="54" t="s">
        <v>83</v>
      </c>
    </row>
    <row r="41" spans="1:24" ht="18" customHeight="1" outlineLevel="1" x14ac:dyDescent="0.25">
      <c r="A41" s="383"/>
      <c r="B41" s="636"/>
      <c r="C41" s="64"/>
      <c r="D41" s="437"/>
      <c r="E41" s="620"/>
      <c r="F41" s="61" t="s">
        <v>183</v>
      </c>
      <c r="G41" s="66">
        <v>1</v>
      </c>
      <c r="H41" s="67" t="s">
        <v>81</v>
      </c>
      <c r="I41" s="66">
        <v>1</v>
      </c>
      <c r="J41" s="67" t="s">
        <v>73</v>
      </c>
      <c r="K41" s="66"/>
      <c r="L41" s="67" t="s">
        <v>41</v>
      </c>
      <c r="M41" s="66"/>
      <c r="N41" s="67" t="s">
        <v>37</v>
      </c>
      <c r="O41" s="67"/>
      <c r="P41" s="67"/>
      <c r="Q41" s="67"/>
      <c r="R41" s="65"/>
      <c r="S41" s="65"/>
      <c r="T41" s="477"/>
      <c r="U41" s="477"/>
      <c r="V41" s="477"/>
      <c r="W41" s="64"/>
    </row>
    <row r="42" spans="1:24" ht="24" customHeight="1" x14ac:dyDescent="0.25">
      <c r="A42" s="383"/>
      <c r="B42" s="636"/>
      <c r="C42" s="64"/>
      <c r="D42" s="437"/>
      <c r="E42" s="620"/>
      <c r="F42" s="68" t="s">
        <v>150</v>
      </c>
      <c r="G42" s="66">
        <v>1</v>
      </c>
      <c r="H42" s="65" t="s">
        <v>137</v>
      </c>
      <c r="I42" s="66">
        <v>1</v>
      </c>
      <c r="J42" s="67" t="s">
        <v>25</v>
      </c>
      <c r="K42" s="66">
        <v>13609.82</v>
      </c>
      <c r="L42" s="67" t="s">
        <v>41</v>
      </c>
      <c r="M42" s="66">
        <f>ROUND((G42*I42*K42),2)</f>
        <v>13609.82</v>
      </c>
      <c r="N42" s="71" t="s">
        <v>37</v>
      </c>
      <c r="O42" s="70">
        <f>ROUNDUP((M42),-2)</f>
        <v>13700</v>
      </c>
      <c r="P42" s="71" t="s">
        <v>37</v>
      </c>
      <c r="Q42" s="72"/>
      <c r="R42" s="72"/>
      <c r="S42" s="65"/>
      <c r="T42" s="477"/>
      <c r="U42" s="477"/>
      <c r="V42" s="477"/>
      <c r="W42" s="64"/>
      <c r="X42" s="54" t="str">
        <f>""&amp;TEXT(I42,"0,0")&amp;" авт. х "&amp;TEXT(I42,"0,0")&amp;" раз х "&amp;TEXT(ROUND((K42),2),"0 000,00")&amp;" руб. = "&amp;TEXT(ROUND((M42),2),"0 000,00")&amp;" руб. = "&amp;TEXT(O42,"0 000,00")&amp;" руб."</f>
        <v>1,0 авт. х 1,0 раз х 13 609,82 руб. = 13 609,82 руб. = 13 700,00 руб.</v>
      </c>
    </row>
    <row r="43" spans="1:24" ht="20.25" customHeight="1" x14ac:dyDescent="0.25">
      <c r="A43" s="383"/>
      <c r="B43" s="636"/>
      <c r="C43" s="64"/>
      <c r="D43" s="437"/>
      <c r="E43" s="620"/>
      <c r="F43" s="68" t="s">
        <v>151</v>
      </c>
      <c r="G43" s="66">
        <v>1</v>
      </c>
      <c r="H43" s="67" t="str">
        <f>H42</f>
        <v>руб. х индекс потребительских цен 2020 года</v>
      </c>
      <c r="I43" s="66">
        <v>1</v>
      </c>
      <c r="J43" s="67" t="s">
        <v>25</v>
      </c>
      <c r="K43" s="69">
        <v>14165.1</v>
      </c>
      <c r="L43" s="67" t="s">
        <v>41</v>
      </c>
      <c r="M43" s="66">
        <f>ROUND((G43*I43*K43),2)</f>
        <v>14165.1</v>
      </c>
      <c r="N43" s="71" t="s">
        <v>37</v>
      </c>
      <c r="O43" s="70">
        <f>ROUNDUP((M43),-2)</f>
        <v>14200</v>
      </c>
      <c r="P43" s="71" t="s">
        <v>37</v>
      </c>
      <c r="Q43" s="72"/>
      <c r="R43" s="72"/>
      <c r="S43" s="72"/>
      <c r="T43" s="477"/>
      <c r="U43" s="477"/>
      <c r="V43" s="477"/>
      <c r="W43" s="64"/>
      <c r="X43" s="54" t="str">
        <f t="shared" ref="X43:X44" si="9">""&amp;TEXT(I43,"0,0")&amp;" авт. х "&amp;TEXT(I43,"0,0")&amp;" раз х "&amp;TEXT(ROUND((K43),2),"0 000,00")&amp;" руб. = "&amp;TEXT(ROUND((M43),2),"0 000,00")&amp;" руб. = "&amp;TEXT(O43,"0 000,00")&amp;" руб."</f>
        <v>1,0 авт. х 1,0 раз х 14 165,10 руб. = 14 165,10 руб. = 14 200,00 руб.</v>
      </c>
    </row>
    <row r="44" spans="1:24" ht="21.75" customHeight="1" x14ac:dyDescent="0.25">
      <c r="A44" s="383"/>
      <c r="B44" s="636"/>
      <c r="C44" s="64"/>
      <c r="D44" s="437"/>
      <c r="E44" s="620"/>
      <c r="F44" s="68" t="s">
        <v>193</v>
      </c>
      <c r="G44" s="66">
        <v>1</v>
      </c>
      <c r="H44" s="67" t="str">
        <f>H42</f>
        <v>руб. х индекс потребительских цен 2020 года</v>
      </c>
      <c r="I44" s="66">
        <v>1</v>
      </c>
      <c r="J44" s="67" t="s">
        <v>25</v>
      </c>
      <c r="K44" s="69">
        <f>K43*1.0408</f>
        <v>14743.03608</v>
      </c>
      <c r="L44" s="67" t="s">
        <v>41</v>
      </c>
      <c r="M44" s="66">
        <f>ROUND((G44*I44*K44),2)</f>
        <v>14743.04</v>
      </c>
      <c r="N44" s="71" t="s">
        <v>37</v>
      </c>
      <c r="O44" s="70">
        <f>ROUNDUP((M44),-2)</f>
        <v>14800</v>
      </c>
      <c r="P44" s="71" t="s">
        <v>37</v>
      </c>
      <c r="Q44" s="70">
        <f>ROUNDUP((O44),-2)</f>
        <v>14800</v>
      </c>
      <c r="R44" s="71" t="s">
        <v>37</v>
      </c>
      <c r="S44" s="71"/>
      <c r="T44" s="477"/>
      <c r="U44" s="477"/>
      <c r="V44" s="477"/>
      <c r="W44" s="64"/>
      <c r="X44" s="54" t="str">
        <f t="shared" si="9"/>
        <v>1,0 авт. х 1,0 раз х 14 743,04 руб. = 14 743,04 руб. = 14 800,00 руб.</v>
      </c>
    </row>
    <row r="45" spans="1:24" ht="120.75" customHeight="1" x14ac:dyDescent="0.25">
      <c r="A45" s="383" t="s">
        <v>163</v>
      </c>
      <c r="B45" s="617" t="s">
        <v>114</v>
      </c>
      <c r="C45" s="64"/>
      <c r="D45" s="619">
        <v>225</v>
      </c>
      <c r="E45" s="619">
        <v>244</v>
      </c>
      <c r="F45" s="380" t="s">
        <v>178</v>
      </c>
      <c r="G45" s="380"/>
      <c r="H45" s="380"/>
      <c r="I45" s="380"/>
      <c r="J45" s="380"/>
      <c r="K45" s="380"/>
      <c r="L45" s="380"/>
      <c r="M45" s="380"/>
      <c r="N45" s="380"/>
      <c r="O45" s="380"/>
      <c r="P45" s="380"/>
      <c r="Q45" s="380"/>
      <c r="R45" s="380"/>
      <c r="S45" s="65"/>
      <c r="T45" s="477">
        <f>O47</f>
        <v>1200</v>
      </c>
      <c r="U45" s="477">
        <f>O48</f>
        <v>1300</v>
      </c>
      <c r="V45" s="477">
        <f>O49</f>
        <v>1300</v>
      </c>
      <c r="W45" s="64"/>
      <c r="X45" s="54" t="s">
        <v>82</v>
      </c>
    </row>
    <row r="46" spans="1:24" ht="21.75" customHeight="1" outlineLevel="1" x14ac:dyDescent="0.25">
      <c r="A46" s="383"/>
      <c r="B46" s="618"/>
      <c r="C46" s="64"/>
      <c r="D46" s="437"/>
      <c r="E46" s="437"/>
      <c r="F46" s="61"/>
      <c r="G46" s="66"/>
      <c r="H46" s="67" t="s">
        <v>81</v>
      </c>
      <c r="I46" s="66">
        <v>1</v>
      </c>
      <c r="J46" s="67" t="s">
        <v>177</v>
      </c>
      <c r="K46" s="66"/>
      <c r="L46" s="67" t="s">
        <v>41</v>
      </c>
      <c r="M46" s="66">
        <f>ROUND((G46*I46*K46),2)</f>
        <v>0</v>
      </c>
      <c r="N46" s="67" t="s">
        <v>37</v>
      </c>
      <c r="O46" s="67"/>
      <c r="P46" s="67"/>
      <c r="Q46" s="67"/>
      <c r="R46" s="65"/>
      <c r="S46" s="65"/>
      <c r="T46" s="477"/>
      <c r="U46" s="477"/>
      <c r="V46" s="477"/>
      <c r="W46" s="64"/>
    </row>
    <row r="47" spans="1:24" ht="21" customHeight="1" x14ac:dyDescent="0.25">
      <c r="A47" s="383"/>
      <c r="B47" s="618"/>
      <c r="C47" s="64"/>
      <c r="D47" s="437"/>
      <c r="E47" s="437"/>
      <c r="F47" s="68" t="s">
        <v>150</v>
      </c>
      <c r="G47" s="66">
        <v>1</v>
      </c>
      <c r="H47" s="65" t="s">
        <v>195</v>
      </c>
      <c r="I47" s="69">
        <v>1</v>
      </c>
      <c r="J47" s="67" t="s">
        <v>25</v>
      </c>
      <c r="K47" s="66">
        <v>1168.28</v>
      </c>
      <c r="L47" s="67" t="s">
        <v>41</v>
      </c>
      <c r="M47" s="66">
        <f>ROUND((G47*I47*K47),2)</f>
        <v>1168.28</v>
      </c>
      <c r="N47" s="71" t="s">
        <v>37</v>
      </c>
      <c r="O47" s="70">
        <f>ROUNDUP((M47),-2)</f>
        <v>1200</v>
      </c>
      <c r="P47" s="71" t="s">
        <v>37</v>
      </c>
      <c r="Q47" s="72"/>
      <c r="R47" s="72"/>
      <c r="S47" s="65"/>
      <c r="T47" s="477"/>
      <c r="U47" s="477"/>
      <c r="V47" s="477"/>
      <c r="W47" s="64"/>
      <c r="X47" s="54" t="str">
        <f>""&amp;TEXT(G47,"0,0")&amp;" авт. х "&amp;TEXT(I47,"0,0")&amp;" раз х "&amp;TEXT(ROUND((K47),2),"000,00")&amp;" руб. = "&amp;TEXT(ROUND((M47),2),"000,00")&amp;" руб. = "&amp;TEXT(O47,"0 000,00")&amp;" руб."</f>
        <v>1,0 авт. х 1,0 раз х 1168,28 руб. = 1168,28 руб. = 1 200,00 руб.</v>
      </c>
    </row>
    <row r="48" spans="1:24" ht="21" customHeight="1" x14ac:dyDescent="0.25">
      <c r="A48" s="383"/>
      <c r="B48" s="618"/>
      <c r="C48" s="64"/>
      <c r="D48" s="437"/>
      <c r="E48" s="437"/>
      <c r="F48" s="68" t="s">
        <v>151</v>
      </c>
      <c r="G48" s="66">
        <v>1</v>
      </c>
      <c r="H48" s="65" t="s">
        <v>195</v>
      </c>
      <c r="I48" s="69">
        <v>1</v>
      </c>
      <c r="J48" s="67" t="s">
        <v>25</v>
      </c>
      <c r="K48" s="69">
        <v>1215.95</v>
      </c>
      <c r="L48" s="67" t="s">
        <v>41</v>
      </c>
      <c r="M48" s="66">
        <f>ROUND((G48*I48*K48),2)</f>
        <v>1215.95</v>
      </c>
      <c r="N48" s="67" t="s">
        <v>41</v>
      </c>
      <c r="O48" s="70">
        <f>ROUNDUP((M48),-2)</f>
        <v>1300</v>
      </c>
      <c r="P48" s="71" t="s">
        <v>37</v>
      </c>
      <c r="Q48" s="72"/>
      <c r="R48" s="72"/>
      <c r="S48" s="65"/>
      <c r="T48" s="477"/>
      <c r="U48" s="477"/>
      <c r="V48" s="477"/>
      <c r="W48" s="64"/>
      <c r="X48" s="54" t="str">
        <f t="shared" ref="X48:X49" si="10">""&amp;TEXT(G48,"0,0")&amp;" авт. х "&amp;TEXT(I48,"0,0")&amp;" раз х "&amp;TEXT(ROUND((K48),2),"000,00")&amp;" руб. = "&amp;TEXT(ROUND((M48),2),"000,00")&amp;" руб. = "&amp;TEXT(O48,"0 000,00")&amp;" руб."</f>
        <v>1,0 авт. х 1,0 раз х 1215,95 руб. = 1215,95 руб. = 1 300,00 руб.</v>
      </c>
    </row>
    <row r="49" spans="1:24" ht="21" customHeight="1" x14ac:dyDescent="0.25">
      <c r="A49" s="383"/>
      <c r="B49" s="618"/>
      <c r="C49" s="64"/>
      <c r="D49" s="437"/>
      <c r="E49" s="437"/>
      <c r="F49" s="68" t="s">
        <v>193</v>
      </c>
      <c r="G49" s="66">
        <v>1</v>
      </c>
      <c r="H49" s="65" t="s">
        <v>195</v>
      </c>
      <c r="I49" s="69">
        <v>1</v>
      </c>
      <c r="J49" s="67" t="s">
        <v>25</v>
      </c>
      <c r="K49" s="69">
        <f>K48*1.0408</f>
        <v>1265.5607600000001</v>
      </c>
      <c r="L49" s="67" t="s">
        <v>41</v>
      </c>
      <c r="M49" s="66">
        <f>ROUND((G49*I49*K49),2)</f>
        <v>1265.56</v>
      </c>
      <c r="N49" s="67" t="s">
        <v>25</v>
      </c>
      <c r="O49" s="70">
        <f>ROUNDUP((M49),-2)</f>
        <v>1300</v>
      </c>
      <c r="P49" s="71" t="s">
        <v>37</v>
      </c>
      <c r="Q49" s="70">
        <f>ROUNDUP((O49),-2)</f>
        <v>1300</v>
      </c>
      <c r="R49" s="71" t="s">
        <v>37</v>
      </c>
      <c r="S49" s="65"/>
      <c r="T49" s="478"/>
      <c r="U49" s="478"/>
      <c r="V49" s="478"/>
      <c r="W49" s="64"/>
      <c r="X49" s="54" t="str">
        <f t="shared" si="10"/>
        <v>1,0 авт. х 1,0 раз х 1265,56 руб. = 1265,56 руб. = 1 300,00 руб.</v>
      </c>
    </row>
    <row r="50" spans="1:24" ht="117.75" customHeight="1" x14ac:dyDescent="0.25">
      <c r="A50" s="383" t="s">
        <v>201</v>
      </c>
      <c r="B50" s="617" t="s">
        <v>202</v>
      </c>
      <c r="C50" s="64"/>
      <c r="D50" s="619">
        <v>225</v>
      </c>
      <c r="E50" s="619">
        <v>244</v>
      </c>
      <c r="F50" s="380" t="s">
        <v>178</v>
      </c>
      <c r="G50" s="380"/>
      <c r="H50" s="380"/>
      <c r="I50" s="380"/>
      <c r="J50" s="380"/>
      <c r="K50" s="380"/>
      <c r="L50" s="380"/>
      <c r="M50" s="380"/>
      <c r="N50" s="380"/>
      <c r="O50" s="380"/>
      <c r="P50" s="380"/>
      <c r="Q50" s="380"/>
      <c r="R50" s="380"/>
      <c r="S50" s="65"/>
      <c r="T50" s="477">
        <f>O52</f>
        <v>2000</v>
      </c>
      <c r="U50" s="477">
        <f>O53</f>
        <v>2100</v>
      </c>
      <c r="V50" s="477">
        <f>O54</f>
        <v>2200</v>
      </c>
      <c r="W50" s="64"/>
      <c r="X50" s="54" t="s">
        <v>212</v>
      </c>
    </row>
    <row r="51" spans="1:24" ht="21.75" customHeight="1" outlineLevel="1" x14ac:dyDescent="0.25">
      <c r="A51" s="383"/>
      <c r="B51" s="618"/>
      <c r="C51" s="64"/>
      <c r="D51" s="437"/>
      <c r="E51" s="437"/>
      <c r="F51" s="61"/>
      <c r="G51" s="66">
        <v>1</v>
      </c>
      <c r="H51" s="67" t="s">
        <v>81</v>
      </c>
      <c r="I51" s="66">
        <v>1</v>
      </c>
      <c r="J51" s="67" t="s">
        <v>177</v>
      </c>
      <c r="K51" s="66"/>
      <c r="L51" s="67" t="s">
        <v>41</v>
      </c>
      <c r="M51" s="66">
        <f>ROUND((G51*I51*K51),2)</f>
        <v>0</v>
      </c>
      <c r="N51" s="67" t="s">
        <v>37</v>
      </c>
      <c r="O51" s="67"/>
      <c r="P51" s="67"/>
      <c r="Q51" s="67"/>
      <c r="R51" s="65"/>
      <c r="S51" s="65"/>
      <c r="T51" s="477"/>
      <c r="U51" s="477"/>
      <c r="V51" s="477"/>
      <c r="W51" s="64"/>
    </row>
    <row r="52" spans="1:24" ht="21" customHeight="1" x14ac:dyDescent="0.25">
      <c r="A52" s="383"/>
      <c r="B52" s="618"/>
      <c r="C52" s="64"/>
      <c r="D52" s="437"/>
      <c r="E52" s="437"/>
      <c r="F52" s="68" t="s">
        <v>150</v>
      </c>
      <c r="G52" s="66">
        <v>1</v>
      </c>
      <c r="H52" s="65" t="s">
        <v>195</v>
      </c>
      <c r="I52" s="69">
        <v>1</v>
      </c>
      <c r="J52" s="67" t="s">
        <v>25</v>
      </c>
      <c r="K52" s="66">
        <v>1966.67</v>
      </c>
      <c r="L52" s="67" t="s">
        <v>41</v>
      </c>
      <c r="M52" s="66">
        <f>ROUND((G52*I52*K52),2)</f>
        <v>1966.67</v>
      </c>
      <c r="N52" s="71" t="s">
        <v>37</v>
      </c>
      <c r="O52" s="70">
        <f>ROUNDUP((M52),-2)</f>
        <v>2000</v>
      </c>
      <c r="P52" s="71" t="s">
        <v>37</v>
      </c>
      <c r="Q52" s="72"/>
      <c r="R52" s="72"/>
      <c r="S52" s="65"/>
      <c r="T52" s="477"/>
      <c r="U52" s="477"/>
      <c r="V52" s="477"/>
      <c r="W52" s="64"/>
      <c r="X52" s="54" t="str">
        <f>""&amp;TEXT(G52,"0,0")&amp;" авт. х "&amp;TEXT(I52,"0,0")&amp;" раз. х  "&amp;TEXT((K52),"000,00")&amp;" руб. = "&amp;TEXT((M52),"0 000,00")&amp;" руб. = "&amp;TEXT(O52,"0 000,00")&amp;" руб."</f>
        <v>1,0 авт. х 1,0 раз. х  1966,67 руб. = 1 966,67 руб. = 2 000,00 руб.</v>
      </c>
    </row>
    <row r="53" spans="1:24" ht="21" customHeight="1" x14ac:dyDescent="0.25">
      <c r="A53" s="383"/>
      <c r="B53" s="618"/>
      <c r="C53" s="64"/>
      <c r="D53" s="437"/>
      <c r="E53" s="437"/>
      <c r="F53" s="68" t="s">
        <v>151</v>
      </c>
      <c r="G53" s="66">
        <v>1</v>
      </c>
      <c r="H53" s="65" t="s">
        <v>195</v>
      </c>
      <c r="I53" s="69">
        <v>1</v>
      </c>
      <c r="J53" s="67" t="s">
        <v>25</v>
      </c>
      <c r="K53" s="69">
        <f>K52*1.0408</f>
        <v>2046.910136</v>
      </c>
      <c r="L53" s="67" t="s">
        <v>41</v>
      </c>
      <c r="M53" s="66">
        <f>ROUND((G53*I53*K53),2)</f>
        <v>2046.91</v>
      </c>
      <c r="N53" s="71" t="s">
        <v>37</v>
      </c>
      <c r="O53" s="70">
        <f>ROUNDUP((M53),-2)</f>
        <v>2100</v>
      </c>
      <c r="P53" s="71" t="s">
        <v>37</v>
      </c>
      <c r="Q53" s="72"/>
      <c r="R53" s="72"/>
      <c r="S53" s="65"/>
      <c r="T53" s="477"/>
      <c r="U53" s="477"/>
      <c r="V53" s="477"/>
      <c r="W53" s="64"/>
      <c r="X53" s="54" t="str">
        <f>""&amp;TEXT(G53,"0,0")&amp;" авт. х "&amp;TEXT(I53,"0,0")&amp;" раз. х  "&amp;TEXT((K53),"000,00")&amp;" руб. = "&amp;TEXT((M53),"0 000,00")&amp;" руб. = "&amp;TEXT(O53,"0 000,00")&amp;" руб."</f>
        <v>1,0 авт. х 1,0 раз. х  2046,91 руб. = 2 046,91 руб. = 2 100,00 руб.</v>
      </c>
    </row>
    <row r="54" spans="1:24" ht="21" customHeight="1" x14ac:dyDescent="0.25">
      <c r="A54" s="383"/>
      <c r="B54" s="618"/>
      <c r="C54" s="64"/>
      <c r="D54" s="437"/>
      <c r="E54" s="437"/>
      <c r="F54" s="68" t="s">
        <v>193</v>
      </c>
      <c r="G54" s="66">
        <v>1</v>
      </c>
      <c r="H54" s="65" t="s">
        <v>195</v>
      </c>
      <c r="I54" s="69">
        <v>1</v>
      </c>
      <c r="J54" s="67" t="s">
        <v>25</v>
      </c>
      <c r="K54" s="69">
        <f>K53*1.0408</f>
        <v>2130.4240695487997</v>
      </c>
      <c r="L54" s="67" t="s">
        <v>41</v>
      </c>
      <c r="M54" s="66">
        <f>ROUND((G54*I54*K54),2)</f>
        <v>2130.42</v>
      </c>
      <c r="N54" s="71" t="s">
        <v>37</v>
      </c>
      <c r="O54" s="70">
        <f>ROUNDUP((M54),-2)</f>
        <v>2200</v>
      </c>
      <c r="P54" s="71" t="s">
        <v>37</v>
      </c>
      <c r="Q54" s="70"/>
      <c r="R54" s="71"/>
      <c r="S54" s="65"/>
      <c r="T54" s="478"/>
      <c r="U54" s="478"/>
      <c r="V54" s="478"/>
      <c r="W54" s="64"/>
      <c r="X54" s="54" t="str">
        <f>""&amp;TEXT(G54,"0,0")&amp;" авт. х "&amp;TEXT(I54,"0,0")&amp;" раз. х  "&amp;TEXT((K54),"000,00")&amp;" руб. = "&amp;TEXT((M54),"0 000,00")&amp;" руб. = "&amp;TEXT(O54,"0 000,00")&amp;" руб."</f>
        <v>1,0 авт. х 1,0 раз. х  2130,42 руб. = 2 130,42 руб. = 2 200,00 руб.</v>
      </c>
    </row>
    <row r="55" spans="1:24" ht="60" x14ac:dyDescent="0.25">
      <c r="A55" s="74" t="s">
        <v>11</v>
      </c>
      <c r="B55" s="118" t="s">
        <v>115</v>
      </c>
      <c r="C55" s="52"/>
      <c r="D55" s="53" t="s">
        <v>35</v>
      </c>
      <c r="E55" s="53" t="s">
        <v>35</v>
      </c>
      <c r="F55" s="423"/>
      <c r="G55" s="424"/>
      <c r="H55" s="424"/>
      <c r="I55" s="424"/>
      <c r="J55" s="424"/>
      <c r="K55" s="424"/>
      <c r="L55" s="424"/>
      <c r="M55" s="424"/>
      <c r="N55" s="424"/>
      <c r="O55" s="424"/>
      <c r="P55" s="424"/>
      <c r="Q55" s="424"/>
      <c r="R55" s="424"/>
      <c r="S55" s="424"/>
      <c r="T55" s="109">
        <f>SUM(T56,T61,T66,T72)</f>
        <v>299900</v>
      </c>
      <c r="U55" s="109">
        <f t="shared" ref="U55:V55" si="11">SUM(U56,U61,U66,U72)</f>
        <v>312200</v>
      </c>
      <c r="V55" s="109">
        <f t="shared" si="11"/>
        <v>324900</v>
      </c>
      <c r="W55" s="52"/>
      <c r="X55" s="54" t="str">
        <f>"Нормативные "&amp;TEXT(B55,"0")&amp;" включают в себя:
нормативные "&amp;TEXT(B61,"0")&amp;";
нормативные "&amp;TEXT(B66,"0")&amp;";
нормативные "&amp;TEXT(B72,"0")&amp;""</f>
        <v>Нормативные затраты на техническое обслуживание и регламентно-профилактический ремонт иного оборудования включают в себя:
нормативные затраты по ремонту систем кондиционирования;
нормативные затраты по техническому обслуживанию и регламентно-профилактический ремонту комплексных систем обеспечения безопасности;
нормативные затраты по техническому обслуживанию счетчика банкнот</v>
      </c>
    </row>
    <row r="56" spans="1:24" s="75" customFormat="1" ht="135.75" customHeight="1" x14ac:dyDescent="0.25">
      <c r="A56" s="383" t="s">
        <v>127</v>
      </c>
      <c r="B56" s="617" t="s">
        <v>124</v>
      </c>
      <c r="C56" s="56"/>
      <c r="D56" s="619">
        <v>225</v>
      </c>
      <c r="E56" s="619">
        <v>244</v>
      </c>
      <c r="F56" s="380" t="s">
        <v>182</v>
      </c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66"/>
      <c r="T56" s="477">
        <f>O58</f>
        <v>250900</v>
      </c>
      <c r="U56" s="477">
        <f>O59</f>
        <v>261100</v>
      </c>
      <c r="V56" s="477">
        <f>O60</f>
        <v>271800</v>
      </c>
      <c r="W56" s="56"/>
      <c r="X56" s="54" t="s">
        <v>84</v>
      </c>
    </row>
    <row r="57" spans="1:24" ht="15" customHeight="1" outlineLevel="1" x14ac:dyDescent="0.25">
      <c r="A57" s="383"/>
      <c r="B57" s="618"/>
      <c r="C57" s="64"/>
      <c r="D57" s="437"/>
      <c r="E57" s="620"/>
      <c r="F57" s="76"/>
      <c r="G57" s="66"/>
      <c r="H57" s="67" t="s">
        <v>77</v>
      </c>
      <c r="I57" s="66">
        <v>1</v>
      </c>
      <c r="J57" s="67" t="s">
        <v>67</v>
      </c>
      <c r="K57" s="66"/>
      <c r="L57" s="67" t="s">
        <v>41</v>
      </c>
      <c r="M57" s="66"/>
      <c r="N57" s="67" t="s">
        <v>37</v>
      </c>
      <c r="P57" s="77" t="s">
        <v>145</v>
      </c>
      <c r="Q57" s="78"/>
      <c r="R57" s="61"/>
      <c r="S57" s="65"/>
      <c r="T57" s="477"/>
      <c r="U57" s="477"/>
      <c r="V57" s="477"/>
      <c r="W57" s="64"/>
      <c r="X57" s="54"/>
    </row>
    <row r="58" spans="1:24" ht="19.5" customHeight="1" x14ac:dyDescent="0.25">
      <c r="A58" s="383"/>
      <c r="B58" s="618"/>
      <c r="C58" s="64"/>
      <c r="D58" s="437"/>
      <c r="E58" s="620"/>
      <c r="F58" s="68" t="s">
        <v>150</v>
      </c>
      <c r="G58" s="66">
        <v>1</v>
      </c>
      <c r="H58" s="67" t="s">
        <v>77</v>
      </c>
      <c r="I58" s="69">
        <v>1</v>
      </c>
      <c r="J58" s="67" t="s">
        <v>25</v>
      </c>
      <c r="K58" s="66">
        <v>250859.84</v>
      </c>
      <c r="L58" s="67" t="s">
        <v>41</v>
      </c>
      <c r="M58" s="66">
        <f>ROUND((G58*I58*K58),2)</f>
        <v>250859.84</v>
      </c>
      <c r="N58" s="67" t="s">
        <v>37</v>
      </c>
      <c r="O58" s="70">
        <f>ROUNDUP((M58),-2)</f>
        <v>250900</v>
      </c>
      <c r="P58" s="71" t="s">
        <v>37</v>
      </c>
      <c r="Q58" s="72"/>
      <c r="R58" s="61"/>
      <c r="S58" s="72"/>
      <c r="T58" s="477"/>
      <c r="U58" s="477"/>
      <c r="V58" s="477"/>
      <c r="W58" s="64"/>
      <c r="X58" s="54" t="str">
        <f>""&amp;TEXT(G58,"0,0")&amp;" шт. х "&amp;TEXT(I58,"0,0")&amp;" раз. х  "&amp;TEXT((K58),"000,00")&amp;" руб. = "&amp;TEXT((M58),"0 000,00")&amp;" руб. = "&amp;TEXT(O58,"0 000,00")&amp;" руб."</f>
        <v>1,0 шт. х 1,0 раз. х  250859,84 руб. = 250 859,84 руб. = 250 900,00 руб.</v>
      </c>
    </row>
    <row r="59" spans="1:24" ht="19.5" customHeight="1" x14ac:dyDescent="0.25">
      <c r="A59" s="383"/>
      <c r="B59" s="618"/>
      <c r="C59" s="64"/>
      <c r="D59" s="437"/>
      <c r="E59" s="620"/>
      <c r="F59" s="68" t="s">
        <v>151</v>
      </c>
      <c r="G59" s="66">
        <v>1</v>
      </c>
      <c r="H59" s="67" t="s">
        <v>77</v>
      </c>
      <c r="I59" s="69">
        <v>1</v>
      </c>
      <c r="J59" s="67" t="s">
        <v>25</v>
      </c>
      <c r="K59" s="69">
        <v>261094.68</v>
      </c>
      <c r="L59" s="67" t="s">
        <v>41</v>
      </c>
      <c r="M59" s="66">
        <f t="shared" ref="M59:M60" si="12">ROUND((G59*I59*K59),2)</f>
        <v>261094.68</v>
      </c>
      <c r="N59" s="67" t="s">
        <v>37</v>
      </c>
      <c r="O59" s="70">
        <f>ROUNDUP((M59),-2)</f>
        <v>261100</v>
      </c>
      <c r="P59" s="71" t="s">
        <v>37</v>
      </c>
      <c r="Q59" s="72"/>
      <c r="R59" s="61"/>
      <c r="S59" s="72"/>
      <c r="T59" s="477"/>
      <c r="U59" s="477"/>
      <c r="V59" s="477"/>
      <c r="W59" s="64"/>
      <c r="X59" s="54" t="str">
        <f t="shared" ref="X59:X60" si="13">""&amp;TEXT(G59,"0,0")&amp;" шт. х "&amp;TEXT(I59,"0,0")&amp;" раз. х  "&amp;TEXT((K59),"000,00")&amp;" руб. = "&amp;TEXT((M59),"0 000,00")&amp;" руб. = "&amp;TEXT(O59,"0 000,00")&amp;" руб."</f>
        <v>1,0 шт. х 1,0 раз. х  261094,68 руб. = 261 094,68 руб. = 261 100,00 руб.</v>
      </c>
    </row>
    <row r="60" spans="1:24" ht="19.5" customHeight="1" x14ac:dyDescent="0.25">
      <c r="A60" s="383"/>
      <c r="B60" s="618"/>
      <c r="C60" s="64"/>
      <c r="D60" s="437"/>
      <c r="E60" s="620"/>
      <c r="F60" s="68" t="s">
        <v>193</v>
      </c>
      <c r="G60" s="66">
        <v>1</v>
      </c>
      <c r="H60" s="67" t="s">
        <v>77</v>
      </c>
      <c r="I60" s="69">
        <v>1</v>
      </c>
      <c r="J60" s="67" t="s">
        <v>25</v>
      </c>
      <c r="K60" s="69">
        <f>K59*1.0408</f>
        <v>271747.34294399997</v>
      </c>
      <c r="L60" s="67" t="s">
        <v>41</v>
      </c>
      <c r="M60" s="66">
        <f t="shared" si="12"/>
        <v>271747.34000000003</v>
      </c>
      <c r="N60" s="67" t="s">
        <v>37</v>
      </c>
      <c r="O60" s="70">
        <f>ROUNDUP((M60),-2)</f>
        <v>271800</v>
      </c>
      <c r="P60" s="71" t="s">
        <v>37</v>
      </c>
      <c r="Q60" s="70"/>
      <c r="R60" s="61"/>
      <c r="S60" s="71"/>
      <c r="T60" s="478"/>
      <c r="U60" s="478"/>
      <c r="V60" s="478"/>
      <c r="W60" s="64"/>
      <c r="X60" s="54" t="str">
        <f t="shared" si="13"/>
        <v>1,0 шт. х 1,0 раз. х  271747,34 руб. = 271 747,34 руб. = 271 800,00 руб.</v>
      </c>
    </row>
    <row r="61" spans="1:24" s="75" customFormat="1" ht="119.25" customHeight="1" x14ac:dyDescent="0.25">
      <c r="A61" s="383" t="s">
        <v>128</v>
      </c>
      <c r="B61" s="617" t="s">
        <v>217</v>
      </c>
      <c r="C61" s="56"/>
      <c r="D61" s="619">
        <v>225</v>
      </c>
      <c r="E61" s="619">
        <v>244</v>
      </c>
      <c r="F61" s="380"/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Q61" s="380"/>
      <c r="R61" s="380"/>
      <c r="S61" s="66"/>
      <c r="T61" s="477">
        <f>O63</f>
        <v>9700</v>
      </c>
      <c r="U61" s="477">
        <f>O64</f>
        <v>10100</v>
      </c>
      <c r="V61" s="477">
        <f>O65</f>
        <v>10500</v>
      </c>
      <c r="W61" s="56"/>
      <c r="X61" s="54" t="s">
        <v>218</v>
      </c>
    </row>
    <row r="62" spans="1:24" ht="15" customHeight="1" outlineLevel="1" x14ac:dyDescent="0.25">
      <c r="A62" s="383"/>
      <c r="B62" s="618"/>
      <c r="C62" s="64"/>
      <c r="D62" s="437"/>
      <c r="E62" s="620"/>
      <c r="F62" s="76"/>
      <c r="G62" s="66"/>
      <c r="H62" s="67" t="s">
        <v>77</v>
      </c>
      <c r="I62" s="66"/>
      <c r="J62" s="67" t="s">
        <v>67</v>
      </c>
      <c r="K62" s="66"/>
      <c r="L62" s="67" t="s">
        <v>41</v>
      </c>
      <c r="M62" s="66"/>
      <c r="N62" s="67" t="s">
        <v>37</v>
      </c>
      <c r="P62" s="77"/>
      <c r="Q62" s="78"/>
      <c r="R62" s="61"/>
      <c r="S62" s="65"/>
      <c r="T62" s="477"/>
      <c r="U62" s="477"/>
      <c r="V62" s="477"/>
      <c r="W62" s="64"/>
      <c r="X62" s="54"/>
    </row>
    <row r="63" spans="1:24" ht="18.75" customHeight="1" x14ac:dyDescent="0.25">
      <c r="A63" s="383"/>
      <c r="B63" s="618"/>
      <c r="C63" s="64"/>
      <c r="D63" s="437"/>
      <c r="E63" s="620"/>
      <c r="F63" s="68" t="s">
        <v>150</v>
      </c>
      <c r="G63" s="66">
        <v>1</v>
      </c>
      <c r="H63" s="65" t="s">
        <v>195</v>
      </c>
      <c r="I63" s="69">
        <v>1</v>
      </c>
      <c r="J63" s="67" t="s">
        <v>25</v>
      </c>
      <c r="K63" s="66">
        <v>9666.6669999999995</v>
      </c>
      <c r="L63" s="67" t="s">
        <v>41</v>
      </c>
      <c r="M63" s="66">
        <f>ROUND((G63*I63*K63),2)</f>
        <v>9666.67</v>
      </c>
      <c r="N63" s="71" t="s">
        <v>37</v>
      </c>
      <c r="O63" s="70">
        <f>ROUNDUP((M63),-2)</f>
        <v>9700</v>
      </c>
      <c r="P63" s="71" t="s">
        <v>37</v>
      </c>
      <c r="Q63" s="72"/>
      <c r="R63" s="72"/>
      <c r="S63" s="65"/>
      <c r="T63" s="477"/>
      <c r="U63" s="477"/>
      <c r="V63" s="477"/>
      <c r="W63" s="64"/>
      <c r="X63" s="54" t="str">
        <f>""&amp;TEXT(G63,"0,0")&amp;" ед. х "&amp;TEXT(I63,"0,0")&amp;" раз. х  "&amp;TEXT((K63),"000,00")&amp;" руб. = "&amp;TEXT((M63),"0 000,00")&amp;" руб. = "&amp;TEXT(O63,"0 000,00")&amp;" руб."</f>
        <v>1,0 ед. х 1,0 раз. х  9666,67 руб. = 9 666,67 руб. = 9 700,00 руб.</v>
      </c>
    </row>
    <row r="64" spans="1:24" ht="18.75" customHeight="1" x14ac:dyDescent="0.25">
      <c r="A64" s="383"/>
      <c r="B64" s="618"/>
      <c r="C64" s="64"/>
      <c r="D64" s="437"/>
      <c r="E64" s="620"/>
      <c r="F64" s="68" t="s">
        <v>151</v>
      </c>
      <c r="G64" s="66">
        <v>1</v>
      </c>
      <c r="H64" s="65" t="s">
        <v>195</v>
      </c>
      <c r="I64" s="69">
        <v>1</v>
      </c>
      <c r="J64" s="67" t="s">
        <v>25</v>
      </c>
      <c r="K64" s="69">
        <f>K63*1.0408</f>
        <v>10061.067013599999</v>
      </c>
      <c r="L64" s="67" t="s">
        <v>41</v>
      </c>
      <c r="M64" s="66">
        <f>ROUND((G64*I64*K64),2)</f>
        <v>10061.07</v>
      </c>
      <c r="N64" s="71" t="s">
        <v>37</v>
      </c>
      <c r="O64" s="70">
        <f>ROUNDUP((M64),-2)</f>
        <v>10100</v>
      </c>
      <c r="P64" s="71" t="s">
        <v>37</v>
      </c>
      <c r="Q64" s="72"/>
      <c r="R64" s="72"/>
      <c r="S64" s="65"/>
      <c r="T64" s="477"/>
      <c r="U64" s="477"/>
      <c r="V64" s="477"/>
      <c r="W64" s="64"/>
      <c r="X64" s="54" t="str">
        <f>""&amp;TEXT(G64,"0,0")&amp;" ед. х "&amp;TEXT(I64,"0,0")&amp;" раз. х  "&amp;TEXT((K64),"000,00")&amp;" руб. = "&amp;TEXT((M64),"0 000,00")&amp;" руб. = "&amp;TEXT(O64,"0 000,00")&amp;" руб."</f>
        <v>1,0 ед. х 1,0 раз. х  10061,07 руб. = 10 061,07 руб. = 10 100,00 руб.</v>
      </c>
    </row>
    <row r="65" spans="1:25" ht="18.75" customHeight="1" x14ac:dyDescent="0.25">
      <c r="A65" s="383"/>
      <c r="B65" s="618"/>
      <c r="C65" s="64"/>
      <c r="D65" s="437"/>
      <c r="E65" s="620"/>
      <c r="F65" s="68" t="s">
        <v>193</v>
      </c>
      <c r="G65" s="66">
        <v>1</v>
      </c>
      <c r="H65" s="65" t="s">
        <v>195</v>
      </c>
      <c r="I65" s="69">
        <v>1</v>
      </c>
      <c r="J65" s="67" t="s">
        <v>25</v>
      </c>
      <c r="K65" s="69">
        <f>K64*1.0408</f>
        <v>10471.558547754878</v>
      </c>
      <c r="L65" s="67" t="s">
        <v>41</v>
      </c>
      <c r="M65" s="66">
        <f>ROUND((G65*I65*K65),2)</f>
        <v>10471.56</v>
      </c>
      <c r="N65" s="71" t="s">
        <v>37</v>
      </c>
      <c r="O65" s="70">
        <f>ROUNDUP((M65),-2)</f>
        <v>10500</v>
      </c>
      <c r="P65" s="71" t="s">
        <v>37</v>
      </c>
      <c r="Q65" s="70"/>
      <c r="R65" s="71"/>
      <c r="S65" s="65"/>
      <c r="T65" s="478"/>
      <c r="U65" s="478"/>
      <c r="V65" s="478"/>
      <c r="W65" s="64"/>
      <c r="X65" s="54" t="str">
        <f>""&amp;TEXT(G65,"0,0")&amp;" ед. х "&amp;TEXT(I65,"0,0")&amp;" раз. х  "&amp;TEXT((K65),"000,00")&amp;" руб. = "&amp;TEXT((M65),"0 000,00")&amp;" руб. = "&amp;TEXT(O65,"0 000,00")&amp;" руб."</f>
        <v>1,0 ед. х 1,0 раз. х  10471,56 руб. = 10 471,56 руб. = 10 500,00 руб.</v>
      </c>
    </row>
    <row r="66" spans="1:25" ht="84.75" customHeight="1" x14ac:dyDescent="0.25">
      <c r="A66" s="51" t="s">
        <v>129</v>
      </c>
      <c r="B66" s="116" t="s">
        <v>110</v>
      </c>
      <c r="C66" s="52"/>
      <c r="D66" s="53" t="s">
        <v>35</v>
      </c>
      <c r="E66" s="53" t="s">
        <v>35</v>
      </c>
      <c r="F66" s="423"/>
      <c r="G66" s="424"/>
      <c r="H66" s="424"/>
      <c r="I66" s="424"/>
      <c r="J66" s="424"/>
      <c r="K66" s="424"/>
      <c r="L66" s="424"/>
      <c r="M66" s="424"/>
      <c r="N66" s="424"/>
      <c r="O66" s="424"/>
      <c r="P66" s="424"/>
      <c r="Q66" s="424"/>
      <c r="R66" s="424"/>
      <c r="S66" s="424"/>
      <c r="T66" s="110">
        <f>SUM(T67)</f>
        <v>33600</v>
      </c>
      <c r="U66" s="110">
        <f>SUM(U67)</f>
        <v>35000</v>
      </c>
      <c r="V66" s="110">
        <f>SUM(V67)</f>
        <v>36400</v>
      </c>
      <c r="W66" s="52"/>
      <c r="X66" s="54" t="str">
        <f>"Нормативные "&amp;TEXT(B66,"0")&amp;" включают в себя:
нормативные "&amp;TEXT(B67,"0")&amp;""</f>
        <v>Нормативные затраты по техническому обслуживанию и регламентно-профилактический ремонту комплексных систем обеспечения безопасности включают в себя:
нормативные затраты по техническому обслуживанию охранно-тревожной сигнализации</v>
      </c>
    </row>
    <row r="67" spans="1:25" ht="134.25" customHeight="1" x14ac:dyDescent="0.25">
      <c r="A67" s="383" t="s">
        <v>221</v>
      </c>
      <c r="B67" s="617" t="s">
        <v>111</v>
      </c>
      <c r="C67" s="64"/>
      <c r="D67" s="619">
        <v>225</v>
      </c>
      <c r="E67" s="619">
        <v>244</v>
      </c>
      <c r="F67" s="380" t="s">
        <v>186</v>
      </c>
      <c r="G67" s="380"/>
      <c r="H67" s="380"/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65"/>
      <c r="T67" s="477">
        <f>O69</f>
        <v>33600</v>
      </c>
      <c r="U67" s="477">
        <f>O70</f>
        <v>35000</v>
      </c>
      <c r="V67" s="477">
        <f>Q71</f>
        <v>36400</v>
      </c>
      <c r="W67" s="64"/>
      <c r="X67" s="54" t="s">
        <v>176</v>
      </c>
    </row>
    <row r="68" spans="1:25" ht="19.5" customHeight="1" outlineLevel="1" x14ac:dyDescent="0.25">
      <c r="A68" s="383"/>
      <c r="B68" s="618"/>
      <c r="C68" s="64"/>
      <c r="D68" s="437"/>
      <c r="E68" s="620"/>
      <c r="F68" s="61"/>
      <c r="G68" s="66"/>
      <c r="H68" s="67" t="s">
        <v>70</v>
      </c>
      <c r="I68" s="66"/>
      <c r="J68" s="67" t="s">
        <v>73</v>
      </c>
      <c r="K68" s="66">
        <v>2695</v>
      </c>
      <c r="L68" s="67" t="s">
        <v>41</v>
      </c>
      <c r="M68" s="66">
        <f>ROUND((G68*I68*K68),2)</f>
        <v>0</v>
      </c>
      <c r="N68" s="67" t="s">
        <v>37</v>
      </c>
      <c r="O68" s="67"/>
      <c r="P68" s="67"/>
      <c r="Q68" s="67"/>
      <c r="R68" s="65"/>
      <c r="S68" s="65"/>
      <c r="T68" s="477"/>
      <c r="U68" s="477"/>
      <c r="V68" s="477"/>
      <c r="W68" s="64"/>
      <c r="X68" s="54"/>
    </row>
    <row r="69" spans="1:25" ht="21" customHeight="1" x14ac:dyDescent="0.25">
      <c r="A69" s="383"/>
      <c r="B69" s="618"/>
      <c r="C69" s="64"/>
      <c r="D69" s="437"/>
      <c r="E69" s="620"/>
      <c r="F69" s="68" t="s">
        <v>150</v>
      </c>
      <c r="G69" s="66">
        <v>1</v>
      </c>
      <c r="H69" s="65" t="s">
        <v>137</v>
      </c>
      <c r="I69" s="69">
        <v>12</v>
      </c>
      <c r="J69" s="67" t="s">
        <v>25</v>
      </c>
      <c r="K69" s="66">
        <v>2799.84</v>
      </c>
      <c r="L69" s="67" t="s">
        <v>41</v>
      </c>
      <c r="M69" s="66">
        <f>ROUND((G69*I69*K69),2)</f>
        <v>33598.080000000002</v>
      </c>
      <c r="N69" s="71" t="s">
        <v>37</v>
      </c>
      <c r="O69" s="70">
        <f>ROUNDUP((M69),-2)</f>
        <v>33600</v>
      </c>
      <c r="P69" s="72"/>
      <c r="Q69" s="72"/>
      <c r="R69" s="72"/>
      <c r="S69" s="65"/>
      <c r="T69" s="477"/>
      <c r="U69" s="477"/>
      <c r="V69" s="477"/>
      <c r="W69" s="64"/>
      <c r="X69" s="54" t="str">
        <f>""&amp;TEXT(G69,"0,0")&amp;" шт. х "&amp;TEXT(I69,"0,0")&amp;" мес. х "&amp;TEXT(ROUND((K69),2),"0 000,00")&amp;" руб. = "&amp;TEXT(ROUND(((M69)),2),"0 000,00")&amp;" руб. = "&amp;TEXT(O69,"0 000,00")&amp;" руб."</f>
        <v>1,0 шт. х 12,0 мес. х 2 799,84 руб. = 33 598,08 руб. = 33 600,00 руб.</v>
      </c>
    </row>
    <row r="70" spans="1:25" ht="21" customHeight="1" x14ac:dyDescent="0.25">
      <c r="A70" s="383"/>
      <c r="B70" s="618"/>
      <c r="C70" s="64"/>
      <c r="D70" s="437"/>
      <c r="E70" s="620"/>
      <c r="F70" s="68" t="s">
        <v>151</v>
      </c>
      <c r="G70" s="66">
        <v>1</v>
      </c>
      <c r="H70" s="67" t="str">
        <f>H69</f>
        <v>руб. х индекс потребительских цен 2020 года</v>
      </c>
      <c r="I70" s="69">
        <f>$I$69</f>
        <v>12</v>
      </c>
      <c r="J70" s="67" t="s">
        <v>25</v>
      </c>
      <c r="K70" s="69">
        <v>2914.07</v>
      </c>
      <c r="L70" s="67" t="s">
        <v>41</v>
      </c>
      <c r="M70" s="66">
        <f>ROUND((G70*I70*K70),2)</f>
        <v>34968.839999999997</v>
      </c>
      <c r="N70" s="67" t="s">
        <v>41</v>
      </c>
      <c r="O70" s="70">
        <f>ROUNDUP((M70),-2)</f>
        <v>35000</v>
      </c>
      <c r="P70" s="71" t="s">
        <v>37</v>
      </c>
      <c r="Q70" s="72"/>
      <c r="R70" s="72"/>
      <c r="S70" s="65"/>
      <c r="T70" s="477"/>
      <c r="U70" s="477"/>
      <c r="V70" s="477"/>
      <c r="W70" s="64"/>
      <c r="X70" s="54" t="str">
        <f>""&amp;TEXT(G70,"0,0")&amp;" шт. х "&amp;TEXT(I70,"0,0")&amp;" мес. х "&amp;TEXT(ROUND((K70),2),"0 000,00")&amp;" руб. = "&amp;TEXT(ROUND(((M70)),2),"0 000,00")&amp;" руб. = "&amp;TEXT(O70,"0 000,00")&amp;" руб."</f>
        <v>1,0 шт. х 12,0 мес. х 2 914,07 руб. = 34 968,84 руб. = 35 000,00 руб.</v>
      </c>
    </row>
    <row r="71" spans="1:25" ht="21" customHeight="1" x14ac:dyDescent="0.25">
      <c r="A71" s="383"/>
      <c r="B71" s="618"/>
      <c r="C71" s="64"/>
      <c r="D71" s="437"/>
      <c r="E71" s="620"/>
      <c r="F71" s="68" t="s">
        <v>193</v>
      </c>
      <c r="G71" s="66">
        <f>G70</f>
        <v>1</v>
      </c>
      <c r="H71" s="67" t="str">
        <f>H69</f>
        <v>руб. х индекс потребительских цен 2020 года</v>
      </c>
      <c r="I71" s="69">
        <f>$I$69</f>
        <v>12</v>
      </c>
      <c r="J71" s="67" t="s">
        <v>25</v>
      </c>
      <c r="K71" s="69">
        <f>K70*1.0408</f>
        <v>3032.9640559999998</v>
      </c>
      <c r="L71" s="67" t="s">
        <v>41</v>
      </c>
      <c r="M71" s="66">
        <f>ROUND((G71*I71*K71),2)</f>
        <v>36395.57</v>
      </c>
      <c r="N71" s="67" t="s">
        <v>25</v>
      </c>
      <c r="O71" s="70">
        <f>ROUNDUP((M71),-2)</f>
        <v>36400</v>
      </c>
      <c r="P71" s="67" t="s">
        <v>41</v>
      </c>
      <c r="Q71" s="70">
        <f>ROUNDUP((O71),-2)</f>
        <v>36400</v>
      </c>
      <c r="R71" s="71" t="s">
        <v>37</v>
      </c>
      <c r="S71" s="65"/>
      <c r="T71" s="478"/>
      <c r="U71" s="478"/>
      <c r="V71" s="478"/>
      <c r="W71" s="64"/>
      <c r="X71" s="54" t="str">
        <f>""&amp;TEXT(G71,"0,0")&amp;" шт. х "&amp;TEXT(I71,"0,0")&amp;" мес. х "&amp;TEXT(ROUND((K71),2),"0 000,00")&amp;" руб. = "&amp;TEXT(ROUND(((M71)),2),"0 000,00")&amp;" руб. = "&amp;TEXT(O71,"0 000,00")&amp;" руб."</f>
        <v>1,0 шт. х 12,0 мес. х 3 032,96 руб. = 36 395,57 руб. = 36 400,00 руб.</v>
      </c>
    </row>
    <row r="72" spans="1:25" ht="134.25" customHeight="1" x14ac:dyDescent="0.25">
      <c r="A72" s="383" t="s">
        <v>222</v>
      </c>
      <c r="B72" s="617" t="s">
        <v>116</v>
      </c>
      <c r="C72" s="64"/>
      <c r="D72" s="619">
        <v>225</v>
      </c>
      <c r="E72" s="619">
        <v>244</v>
      </c>
      <c r="F72" s="380" t="s">
        <v>182</v>
      </c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0"/>
      <c r="R72" s="380"/>
      <c r="S72" s="65"/>
      <c r="T72" s="477">
        <f>O74</f>
        <v>5700</v>
      </c>
      <c r="U72" s="477">
        <f>O75</f>
        <v>6000</v>
      </c>
      <c r="V72" s="477">
        <f>Q76</f>
        <v>6200</v>
      </c>
      <c r="W72" s="64"/>
      <c r="X72" s="54" t="s">
        <v>85</v>
      </c>
    </row>
    <row r="73" spans="1:25" ht="21.75" customHeight="1" outlineLevel="1" x14ac:dyDescent="0.25">
      <c r="A73" s="383"/>
      <c r="B73" s="618"/>
      <c r="C73" s="64"/>
      <c r="D73" s="437"/>
      <c r="E73" s="620"/>
      <c r="F73" s="61"/>
      <c r="G73" s="66"/>
      <c r="H73" s="67" t="s">
        <v>77</v>
      </c>
      <c r="I73" s="66">
        <v>4</v>
      </c>
      <c r="J73" s="67" t="s">
        <v>67</v>
      </c>
      <c r="K73" s="66"/>
      <c r="L73" s="67" t="s">
        <v>41</v>
      </c>
      <c r="M73" s="66">
        <f>ROUND((G73*I73*K73),2)</f>
        <v>0</v>
      </c>
      <c r="N73" s="67" t="s">
        <v>37</v>
      </c>
      <c r="O73" s="67"/>
      <c r="P73" s="67"/>
      <c r="Q73" s="67"/>
      <c r="R73" s="65"/>
      <c r="S73" s="65"/>
      <c r="T73" s="477"/>
      <c r="U73" s="477"/>
      <c r="V73" s="477"/>
      <c r="W73" s="64"/>
      <c r="X73" s="54"/>
    </row>
    <row r="74" spans="1:25" ht="22.5" customHeight="1" x14ac:dyDescent="0.25">
      <c r="A74" s="383"/>
      <c r="B74" s="618"/>
      <c r="C74" s="64"/>
      <c r="D74" s="437"/>
      <c r="E74" s="620"/>
      <c r="F74" s="68" t="s">
        <v>150</v>
      </c>
      <c r="G74" s="66">
        <v>1</v>
      </c>
      <c r="H74" s="65" t="s">
        <v>195</v>
      </c>
      <c r="I74" s="69">
        <v>4</v>
      </c>
      <c r="J74" s="67" t="s">
        <v>25</v>
      </c>
      <c r="K74" s="66">
        <v>1422.19</v>
      </c>
      <c r="L74" s="67" t="s">
        <v>41</v>
      </c>
      <c r="M74" s="70">
        <f>K74*I74*G74</f>
        <v>5688.76</v>
      </c>
      <c r="N74" s="71" t="s">
        <v>37</v>
      </c>
      <c r="O74" s="70">
        <f>ROUNDUP((M74),-2)</f>
        <v>5700</v>
      </c>
      <c r="P74" s="71" t="s">
        <v>37</v>
      </c>
      <c r="Q74" s="70">
        <f t="shared" ref="Q74:Q75" si="14">ROUNDUP((O74),-2)</f>
        <v>5700</v>
      </c>
      <c r="R74" s="71" t="s">
        <v>37</v>
      </c>
      <c r="S74" s="65"/>
      <c r="T74" s="477"/>
      <c r="U74" s="477"/>
      <c r="V74" s="477"/>
      <c r="W74" s="64"/>
      <c r="X74" s="54" t="str">
        <f>""&amp;TEXT(G74,"0,0")&amp;" шт. х "&amp;TEXT(I74,"0,0")&amp;" раза х "&amp;TEXT(ROUND((K74),2),"0 000,00")&amp;" руб. = "&amp;TEXT(ROUND(((M74)),2),"0 000,00")&amp;" руб. = "&amp;TEXT(O74,"0 000,00")&amp;" руб."</f>
        <v>1,0 шт. х 4,0 раза х 1 422,19 руб. = 5 688,76 руб. = 5 700,00 руб.</v>
      </c>
    </row>
    <row r="75" spans="1:25" ht="21.75" customHeight="1" x14ac:dyDescent="0.25">
      <c r="A75" s="383"/>
      <c r="B75" s="618"/>
      <c r="C75" s="64"/>
      <c r="D75" s="437"/>
      <c r="E75" s="620"/>
      <c r="F75" s="68" t="s">
        <v>151</v>
      </c>
      <c r="G75" s="66">
        <v>1</v>
      </c>
      <c r="H75" s="67" t="str">
        <f>H74</f>
        <v xml:space="preserve">руб. х индекс потребительских цен </v>
      </c>
      <c r="I75" s="69">
        <v>4</v>
      </c>
      <c r="J75" s="67" t="s">
        <v>25</v>
      </c>
      <c r="K75" s="69">
        <v>1480.22</v>
      </c>
      <c r="L75" s="67" t="s">
        <v>41</v>
      </c>
      <c r="M75" s="70">
        <f t="shared" ref="M75:M76" si="15">K75*I75*G75</f>
        <v>5920.88</v>
      </c>
      <c r="N75" s="71" t="s">
        <v>37</v>
      </c>
      <c r="O75" s="70">
        <f>ROUNDUP((M75),-2)</f>
        <v>6000</v>
      </c>
      <c r="P75" s="71" t="s">
        <v>37</v>
      </c>
      <c r="Q75" s="70">
        <f t="shared" si="14"/>
        <v>6000</v>
      </c>
      <c r="R75" s="71" t="s">
        <v>37</v>
      </c>
      <c r="S75" s="65"/>
      <c r="T75" s="477"/>
      <c r="U75" s="477"/>
      <c r="V75" s="477"/>
      <c r="W75" s="64"/>
      <c r="X75" s="54" t="str">
        <f t="shared" ref="X75:X76" si="16">""&amp;TEXT(G75,"0,0")&amp;" шт. х "&amp;TEXT(I75,"0,0")&amp;" раза х "&amp;TEXT(ROUND((K75),2),"0 000,00")&amp;" руб. = "&amp;TEXT(ROUND(((M75)),2),"0 000,00")&amp;" руб. = "&amp;TEXT(O75,"0 000,00")&amp;" руб."</f>
        <v>1,0 шт. х 4,0 раза х 1 480,22 руб. = 5 920,88 руб. = 6 000,00 руб.</v>
      </c>
    </row>
    <row r="76" spans="1:25" ht="18.75" customHeight="1" x14ac:dyDescent="0.25">
      <c r="A76" s="383"/>
      <c r="B76" s="618"/>
      <c r="C76" s="64"/>
      <c r="D76" s="437"/>
      <c r="E76" s="620"/>
      <c r="F76" s="68" t="s">
        <v>193</v>
      </c>
      <c r="G76" s="66">
        <v>1</v>
      </c>
      <c r="H76" s="67" t="str">
        <f>H74</f>
        <v xml:space="preserve">руб. х индекс потребительских цен </v>
      </c>
      <c r="I76" s="69">
        <v>4</v>
      </c>
      <c r="J76" s="67" t="s">
        <v>25</v>
      </c>
      <c r="K76" s="69">
        <f>K75*1.0408</f>
        <v>1540.6129759999999</v>
      </c>
      <c r="L76" s="67" t="s">
        <v>41</v>
      </c>
      <c r="M76" s="70">
        <f t="shared" si="15"/>
        <v>6162.4519039999996</v>
      </c>
      <c r="N76" s="71" t="s">
        <v>37</v>
      </c>
      <c r="O76" s="70">
        <f>ROUNDUP((M76),-2)</f>
        <v>6200</v>
      </c>
      <c r="P76" s="71" t="s">
        <v>37</v>
      </c>
      <c r="Q76" s="70">
        <f>ROUNDUP((O76),-2)</f>
        <v>6200</v>
      </c>
      <c r="R76" s="71" t="s">
        <v>37</v>
      </c>
      <c r="S76" s="65"/>
      <c r="T76" s="478"/>
      <c r="U76" s="478"/>
      <c r="V76" s="478"/>
      <c r="W76" s="64"/>
      <c r="X76" s="54" t="str">
        <f t="shared" si="16"/>
        <v>1,0 шт. х 4,0 раза х 1 540,61 руб. = 6 162,45 руб. = 6 200,00 руб.</v>
      </c>
    </row>
    <row r="77" spans="1:25" ht="84.75" customHeight="1" x14ac:dyDescent="0.25">
      <c r="A77" s="74" t="s">
        <v>203</v>
      </c>
      <c r="B77" s="118" t="s">
        <v>204</v>
      </c>
      <c r="C77" s="52"/>
      <c r="D77" s="79" t="s">
        <v>205</v>
      </c>
      <c r="E77" s="79" t="s">
        <v>206</v>
      </c>
      <c r="F77" s="423"/>
      <c r="G77" s="424"/>
      <c r="H77" s="424"/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109">
        <f>SUM(T78,T83,T89)</f>
        <v>60500</v>
      </c>
      <c r="U77" s="109">
        <f>SUM(U78,U83,U89)</f>
        <v>63000</v>
      </c>
      <c r="V77" s="109">
        <f>SUM(V78,V83,V89)</f>
        <v>65500</v>
      </c>
      <c r="W77" s="52"/>
      <c r="X77" s="54" t="str">
        <f>"Нормативные "&amp;TEXT(B77,"0")&amp;" включают в себя:
нормативные "&amp;TEXT(B78,"0")&amp;""</f>
        <v>Нормативные иные затраты на техническое обслуживание и содержание имущества включают в себя:
нормативные затраты по вывозу и утилизации отработанных картриджей</v>
      </c>
      <c r="Y77" s="80"/>
    </row>
    <row r="78" spans="1:25" s="75" customFormat="1" ht="119.25" customHeight="1" x14ac:dyDescent="0.25">
      <c r="A78" s="383" t="s">
        <v>207</v>
      </c>
      <c r="B78" s="617" t="s">
        <v>208</v>
      </c>
      <c r="C78" s="56"/>
      <c r="D78" s="619">
        <v>225</v>
      </c>
      <c r="E78" s="619">
        <v>244</v>
      </c>
      <c r="F78" s="380" t="s">
        <v>182</v>
      </c>
      <c r="G78" s="380"/>
      <c r="H78" s="380"/>
      <c r="I78" s="380"/>
      <c r="J78" s="380"/>
      <c r="K78" s="380"/>
      <c r="L78" s="380"/>
      <c r="M78" s="380"/>
      <c r="N78" s="380"/>
      <c r="O78" s="380"/>
      <c r="P78" s="380"/>
      <c r="Q78" s="380"/>
      <c r="R78" s="380"/>
      <c r="S78" s="66"/>
      <c r="T78" s="477">
        <f>O80</f>
        <v>60500</v>
      </c>
      <c r="U78" s="477">
        <f>O81</f>
        <v>63000</v>
      </c>
      <c r="V78" s="477">
        <f>Q82</f>
        <v>65500</v>
      </c>
      <c r="W78" s="56"/>
      <c r="X78" s="54" t="s">
        <v>209</v>
      </c>
    </row>
    <row r="79" spans="1:25" ht="15" customHeight="1" outlineLevel="1" x14ac:dyDescent="0.25">
      <c r="A79" s="383"/>
      <c r="B79" s="618"/>
      <c r="C79" s="64"/>
      <c r="D79" s="437"/>
      <c r="E79" s="620"/>
      <c r="F79" s="76"/>
      <c r="G79" s="66"/>
      <c r="H79" s="67" t="s">
        <v>77</v>
      </c>
      <c r="I79" s="66"/>
      <c r="J79" s="67" t="s">
        <v>67</v>
      </c>
      <c r="K79" s="66"/>
      <c r="L79" s="67" t="s">
        <v>41</v>
      </c>
      <c r="M79" s="66"/>
      <c r="N79" s="67" t="s">
        <v>37</v>
      </c>
      <c r="P79" s="77"/>
      <c r="Q79" s="78"/>
      <c r="R79" s="61"/>
      <c r="S79" s="65"/>
      <c r="T79" s="477"/>
      <c r="U79" s="477"/>
      <c r="V79" s="477"/>
      <c r="W79" s="64"/>
      <c r="X79" s="54"/>
    </row>
    <row r="80" spans="1:25" ht="18" customHeight="1" x14ac:dyDescent="0.25">
      <c r="A80" s="383"/>
      <c r="B80" s="618"/>
      <c r="C80" s="64"/>
      <c r="D80" s="437"/>
      <c r="E80" s="620"/>
      <c r="F80" s="68" t="s">
        <v>150</v>
      </c>
      <c r="G80" s="66">
        <v>1</v>
      </c>
      <c r="H80" s="67" t="s">
        <v>77</v>
      </c>
      <c r="I80" s="69">
        <v>1</v>
      </c>
      <c r="J80" s="67" t="s">
        <v>25</v>
      </c>
      <c r="K80" s="66">
        <v>60450</v>
      </c>
      <c r="L80" s="67" t="s">
        <v>41</v>
      </c>
      <c r="M80" s="66">
        <f>ROUND((G80*I80*K80),2)</f>
        <v>60450</v>
      </c>
      <c r="N80" s="67" t="s">
        <v>37</v>
      </c>
      <c r="O80" s="70">
        <f>ROUNDUP((M80),-2)</f>
        <v>60500</v>
      </c>
      <c r="P80" s="71" t="s">
        <v>37</v>
      </c>
      <c r="Q80" s="72"/>
      <c r="R80" s="61"/>
      <c r="S80" s="72"/>
      <c r="T80" s="477"/>
      <c r="U80" s="477"/>
      <c r="V80" s="477"/>
      <c r="W80" s="64"/>
      <c r="X80" s="54" t="str">
        <f>""&amp;TEXT($G$51,"0,0")&amp;" шт. х "&amp;TEXT($I$51,"0,0")&amp;" раз х "&amp;TEXT(ROUND((K80),2),"000,00")&amp;" руб. = "&amp;TEXT(ROUND((M80),2),"000,00")&amp;" руб. = "&amp;TEXT(O80,"0 000,00")&amp;" руб."</f>
        <v>1,0 шт. х 1,0 раз х 60450,00 руб. = 60450,00 руб. = 60 500,00 руб.</v>
      </c>
    </row>
    <row r="81" spans="1:24" ht="19.5" customHeight="1" x14ac:dyDescent="0.25">
      <c r="A81" s="383"/>
      <c r="B81" s="618"/>
      <c r="C81" s="64"/>
      <c r="D81" s="437"/>
      <c r="E81" s="620"/>
      <c r="F81" s="68" t="s">
        <v>151</v>
      </c>
      <c r="G81" s="66">
        <v>1</v>
      </c>
      <c r="H81" s="67" t="s">
        <v>77</v>
      </c>
      <c r="I81" s="69">
        <v>1</v>
      </c>
      <c r="J81" s="67" t="s">
        <v>25</v>
      </c>
      <c r="K81" s="69">
        <f>K80*1.0408</f>
        <v>62916.359999999993</v>
      </c>
      <c r="L81" s="67" t="s">
        <v>41</v>
      </c>
      <c r="M81" s="66">
        <f t="shared" ref="M81:M82" si="17">ROUND((G81*I81*K81),2)</f>
        <v>62916.36</v>
      </c>
      <c r="N81" s="67" t="s">
        <v>37</v>
      </c>
      <c r="O81" s="70">
        <f>ROUNDUP((M81),-2)</f>
        <v>63000</v>
      </c>
      <c r="P81" s="71" t="s">
        <v>37</v>
      </c>
      <c r="Q81" s="72"/>
      <c r="R81" s="61"/>
      <c r="S81" s="72"/>
      <c r="T81" s="477"/>
      <c r="U81" s="477"/>
      <c r="V81" s="477"/>
      <c r="W81" s="64"/>
      <c r="X81" s="54" t="str">
        <f>""&amp;TEXT($G$51,"0,0")&amp;" шт. х "&amp;TEXT($I$51,"0,0")&amp;" раз х "&amp;TEXT(ROUND((K81),2),"000,00")&amp;" руб. = "&amp;TEXT(ROUND((M81),2),"000,00")&amp;" руб. = "&amp;TEXT(O81,"0 000,00")&amp;" руб."</f>
        <v>1,0 шт. х 1,0 раз х 62916,36 руб. = 62916,36 руб. = 63 000,00 руб.</v>
      </c>
    </row>
    <row r="82" spans="1:24" ht="19.5" customHeight="1" x14ac:dyDescent="0.25">
      <c r="A82" s="383"/>
      <c r="B82" s="618"/>
      <c r="C82" s="64"/>
      <c r="D82" s="437"/>
      <c r="E82" s="620"/>
      <c r="F82" s="68" t="s">
        <v>193</v>
      </c>
      <c r="G82" s="66">
        <v>1</v>
      </c>
      <c r="H82" s="67" t="s">
        <v>77</v>
      </c>
      <c r="I82" s="69">
        <v>1</v>
      </c>
      <c r="J82" s="67" t="s">
        <v>25</v>
      </c>
      <c r="K82" s="69">
        <f>K81*1.0408</f>
        <v>65483.347487999992</v>
      </c>
      <c r="L82" s="67" t="s">
        <v>41</v>
      </c>
      <c r="M82" s="66">
        <f t="shared" si="17"/>
        <v>65483.35</v>
      </c>
      <c r="N82" s="67" t="s">
        <v>37</v>
      </c>
      <c r="O82" s="70">
        <f>ROUNDUP((M82),-2)</f>
        <v>65500</v>
      </c>
      <c r="P82" s="71" t="s">
        <v>37</v>
      </c>
      <c r="Q82" s="70">
        <f>ROUNDUP((O82),-2)</f>
        <v>65500</v>
      </c>
      <c r="R82" s="61"/>
      <c r="S82" s="71"/>
      <c r="T82" s="478"/>
      <c r="U82" s="478"/>
      <c r="V82" s="478"/>
      <c r="W82" s="64"/>
      <c r="X82" s="54" t="str">
        <f>""&amp;TEXT($G$51,"0,0")&amp;" шт. х "&amp;TEXT($I$51,"0,0")&amp;" раз х "&amp;TEXT(ROUND((K82),2),"000,00")&amp;" руб. = "&amp;TEXT(ROUND((M82),2),"000,00")&amp;" руб. = "&amp;TEXT(O82,"0 000,00")&amp;" руб."</f>
        <v>1,0 шт. х 1,0 раз х 65483,35 руб. = 65483,35 руб. = 65 500,00 руб.</v>
      </c>
    </row>
    <row r="83" spans="1:24" hidden="1" x14ac:dyDescent="0.25">
      <c r="A83" s="81"/>
      <c r="B83" s="119"/>
      <c r="C83" s="82"/>
      <c r="D83" s="83"/>
      <c r="E83" s="84"/>
      <c r="F83" s="68"/>
      <c r="G83" s="66"/>
      <c r="H83" s="67"/>
      <c r="I83" s="69"/>
      <c r="J83" s="67"/>
      <c r="K83" s="69"/>
      <c r="L83" s="67"/>
      <c r="M83" s="70"/>
      <c r="N83" s="71"/>
      <c r="O83" s="70"/>
      <c r="P83" s="71"/>
      <c r="Q83" s="70"/>
      <c r="R83" s="71"/>
      <c r="S83" s="65"/>
      <c r="T83" s="111"/>
      <c r="U83" s="111"/>
      <c r="V83" s="111"/>
      <c r="W83" s="85"/>
      <c r="X83" s="86"/>
    </row>
    <row r="84" spans="1:24" hidden="1" x14ac:dyDescent="0.25">
      <c r="A84" s="81"/>
      <c r="B84" s="119"/>
      <c r="C84" s="82"/>
      <c r="D84" s="83"/>
      <c r="E84" s="84"/>
      <c r="F84" s="68"/>
      <c r="G84" s="66"/>
      <c r="H84" s="67"/>
      <c r="I84" s="69"/>
      <c r="J84" s="67"/>
      <c r="K84" s="69"/>
      <c r="L84" s="67"/>
      <c r="M84" s="70"/>
      <c r="N84" s="71"/>
      <c r="O84" s="70"/>
      <c r="P84" s="71"/>
      <c r="Q84" s="70"/>
      <c r="R84" s="71"/>
      <c r="S84" s="65"/>
      <c r="T84" s="111"/>
      <c r="U84" s="111"/>
      <c r="V84" s="111"/>
      <c r="W84" s="85"/>
      <c r="X84" s="86"/>
    </row>
    <row r="85" spans="1:24" ht="91.5" customHeight="1" x14ac:dyDescent="0.25">
      <c r="A85" s="630" t="s">
        <v>12</v>
      </c>
      <c r="B85" s="120" t="s">
        <v>109</v>
      </c>
      <c r="C85" s="88"/>
      <c r="D85" s="632" t="s">
        <v>35</v>
      </c>
      <c r="E85" s="632" t="s">
        <v>35</v>
      </c>
      <c r="F85" s="423"/>
      <c r="G85" s="424"/>
      <c r="H85" s="424"/>
      <c r="I85" s="424"/>
      <c r="J85" s="424"/>
      <c r="K85" s="424"/>
      <c r="L85" s="424"/>
      <c r="M85" s="424"/>
      <c r="N85" s="424"/>
      <c r="O85" s="424"/>
      <c r="P85" s="424"/>
      <c r="Q85" s="424"/>
      <c r="R85" s="424"/>
      <c r="S85" s="424"/>
      <c r="T85" s="633">
        <f>SUM(T87,T92,T103,T108)</f>
        <v>620000</v>
      </c>
      <c r="U85" s="633">
        <f>SUM(U87,U92,U103,U108)</f>
        <v>645600</v>
      </c>
      <c r="V85" s="633">
        <f>SUM(V87,V92,V103,V108)</f>
        <v>671600</v>
      </c>
      <c r="W85" s="90"/>
      <c r="X85" s="86" t="str">
        <f>"Нормативные "&amp;TEXT(B85,"0")&amp;""</f>
        <v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</v>
      </c>
    </row>
    <row r="86" spans="1:24" ht="95.25" customHeight="1" x14ac:dyDescent="0.25">
      <c r="A86" s="631"/>
      <c r="B86" s="121" t="s">
        <v>119</v>
      </c>
      <c r="C86" s="88"/>
      <c r="D86" s="437"/>
      <c r="E86" s="437"/>
      <c r="F86" s="424"/>
      <c r="G86" s="424"/>
      <c r="H86" s="424"/>
      <c r="I86" s="424"/>
      <c r="J86" s="424"/>
      <c r="K86" s="424"/>
      <c r="L86" s="424"/>
      <c r="M86" s="424"/>
      <c r="N86" s="424"/>
      <c r="O86" s="424"/>
      <c r="P86" s="424"/>
      <c r="Q86" s="424"/>
      <c r="R86" s="424"/>
      <c r="S86" s="424"/>
      <c r="T86" s="634"/>
      <c r="U86" s="634"/>
      <c r="V86" s="634"/>
      <c r="W86" s="90"/>
      <c r="X86" s="91" t="str">
        <f>""&amp;TEXT(B86,"0")&amp;" включают в себя:
нормативные "&amp;TEXT(B87,"0")&amp;";
нормативные "&amp;TEXT(B92,"0")&amp;";
нормативные "&amp;TEXT(B103,"0")&amp;";
нормативные "&amp;TEXT(B108,"0")&amp;""</f>
        <v>заключаемым со сторонними организациями, а также к затратам на коммунальные услуги, аренду помещений и оборудования, содержание имущества включают в себя:
нормативные затраты на оплату типографских работ и услуг, включая приобретение периодических печатных изданий;
нормативные затраты на проведение предрейсового и послерейсового осмотра водителей транспортных средств;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87" spans="1:24" ht="31.5" x14ac:dyDescent="0.25">
      <c r="A87" s="51" t="s">
        <v>13</v>
      </c>
      <c r="B87" s="122" t="s">
        <v>104</v>
      </c>
      <c r="C87" s="52"/>
      <c r="D87" s="53" t="s">
        <v>35</v>
      </c>
      <c r="E87" s="53" t="s">
        <v>35</v>
      </c>
      <c r="F87" s="423"/>
      <c r="G87" s="424"/>
      <c r="H87" s="424"/>
      <c r="I87" s="424"/>
      <c r="J87" s="424"/>
      <c r="K87" s="424"/>
      <c r="L87" s="424"/>
      <c r="M87" s="424"/>
      <c r="N87" s="424"/>
      <c r="O87" s="424"/>
      <c r="P87" s="424"/>
      <c r="Q87" s="424"/>
      <c r="R87" s="424"/>
      <c r="S87" s="424"/>
      <c r="T87" s="110">
        <f>SUM(T88)</f>
        <v>429500</v>
      </c>
      <c r="U87" s="110">
        <f>SUM(U88)</f>
        <v>447300</v>
      </c>
      <c r="V87" s="110">
        <f>SUM(V88)</f>
        <v>465200</v>
      </c>
      <c r="W87" s="52"/>
      <c r="X87" s="92" t="str">
        <f>"Нормативные "&amp;TEXT(B87,"0")&amp;" включают в себя:
нормативные "&amp;TEXT(B88,"0")&amp;""</f>
        <v>Нормативные затраты на оплату типографских работ и услуг, включая приобретение периодических печатных изданий включают в себя:
нормативные затраты на приобретение периодических печатных изданий</v>
      </c>
    </row>
    <row r="88" spans="1:24" ht="105.75" customHeight="1" x14ac:dyDescent="0.25">
      <c r="A88" s="383" t="s">
        <v>130</v>
      </c>
      <c r="B88" s="617" t="s">
        <v>103</v>
      </c>
      <c r="C88" s="64"/>
      <c r="D88" s="619">
        <v>226</v>
      </c>
      <c r="E88" s="619">
        <v>244</v>
      </c>
      <c r="F88" s="380" t="s">
        <v>52</v>
      </c>
      <c r="G88" s="380"/>
      <c r="H88" s="380"/>
      <c r="I88" s="380"/>
      <c r="J88" s="380"/>
      <c r="K88" s="380"/>
      <c r="L88" s="380"/>
      <c r="M88" s="380"/>
      <c r="N88" s="380"/>
      <c r="O88" s="380"/>
      <c r="P88" s="380"/>
      <c r="Q88" s="380"/>
      <c r="R88" s="380"/>
      <c r="S88" s="65"/>
      <c r="T88" s="477">
        <f>O89</f>
        <v>429500</v>
      </c>
      <c r="U88" s="477">
        <f>O90</f>
        <v>447300</v>
      </c>
      <c r="V88" s="477">
        <f>O91</f>
        <v>465200</v>
      </c>
      <c r="W88" s="64"/>
      <c r="X88" s="54" t="s">
        <v>51</v>
      </c>
    </row>
    <row r="89" spans="1:24" ht="21.75" customHeight="1" x14ac:dyDescent="0.25">
      <c r="A89" s="383"/>
      <c r="B89" s="618"/>
      <c r="C89" s="64"/>
      <c r="D89" s="437"/>
      <c r="E89" s="437"/>
      <c r="F89" s="68" t="s">
        <v>150</v>
      </c>
      <c r="G89" s="66">
        <v>213</v>
      </c>
      <c r="H89" s="67" t="s">
        <v>48</v>
      </c>
      <c r="I89" s="66">
        <v>168</v>
      </c>
      <c r="J89" s="67" t="s">
        <v>49</v>
      </c>
      <c r="K89" s="66">
        <v>12</v>
      </c>
      <c r="L89" s="67" t="s">
        <v>50</v>
      </c>
      <c r="M89" s="66">
        <f>ROUND((G89*I89*K89),2)</f>
        <v>429408</v>
      </c>
      <c r="N89" s="67" t="s">
        <v>41</v>
      </c>
      <c r="O89" s="70">
        <f>ROUNDUP((M89),-2)</f>
        <v>429500</v>
      </c>
      <c r="P89" s="71" t="s">
        <v>37</v>
      </c>
      <c r="Q89" s="67"/>
      <c r="R89" s="65"/>
      <c r="S89" s="65"/>
      <c r="T89" s="477"/>
      <c r="U89" s="477"/>
      <c r="V89" s="477"/>
      <c r="W89" s="64"/>
      <c r="X89" s="54" t="str">
        <f>""&amp;TEXT(G89,"000,00")&amp;" шт.ед. х норматив "&amp;TEXT(I89,"0,00")&amp;" руб. х "&amp;TEXT(K89,"00,0")&amp;" мес.  = "&amp;TEXT(M89,"0 000,00")&amp;" руб. = "&amp;TEXT(O89,"0 000,00")&amp;" руб."</f>
        <v>213,00 шт.ед. х норматив 168,00 руб. х 12,0 мес.  = 429 408,00 руб. = 429 500,00 руб.</v>
      </c>
    </row>
    <row r="90" spans="1:24" ht="20.25" customHeight="1" x14ac:dyDescent="0.25">
      <c r="A90" s="383"/>
      <c r="B90" s="618"/>
      <c r="C90" s="64"/>
      <c r="D90" s="437"/>
      <c r="E90" s="437"/>
      <c r="F90" s="68" t="s">
        <v>151</v>
      </c>
      <c r="G90" s="66">
        <v>213</v>
      </c>
      <c r="H90" s="67" t="s">
        <v>48</v>
      </c>
      <c r="I90" s="66">
        <v>175</v>
      </c>
      <c r="J90" s="67" t="s">
        <v>49</v>
      </c>
      <c r="K90" s="66">
        <v>12</v>
      </c>
      <c r="L90" s="67" t="s">
        <v>50</v>
      </c>
      <c r="M90" s="66">
        <f t="shared" ref="M90:M91" si="18">ROUND((G90*I90*K90),2)</f>
        <v>447300</v>
      </c>
      <c r="N90" s="67" t="s">
        <v>41</v>
      </c>
      <c r="O90" s="70">
        <f>ROUNDUP((M90),-2)</f>
        <v>447300</v>
      </c>
      <c r="P90" s="71" t="s">
        <v>37</v>
      </c>
      <c r="Q90" s="67"/>
      <c r="R90" s="65"/>
      <c r="S90" s="65"/>
      <c r="T90" s="477"/>
      <c r="U90" s="477"/>
      <c r="V90" s="477"/>
      <c r="W90" s="64"/>
      <c r="X90" s="54" t="str">
        <f t="shared" ref="X90:X91" si="19">""&amp;TEXT(G90,"000,00")&amp;" шт.ед. х норматив "&amp;TEXT(I90,"0,00")&amp;" руб. х "&amp;TEXT(K90,"00,0")&amp;" мес.  = "&amp;TEXT(M90,"0 000,00")&amp;" руб. = "&amp;TEXT(O90,"0 000,00")&amp;" руб."</f>
        <v>213,00 шт.ед. х норматив 175,00 руб. х 12,0 мес.  = 447 300,00 руб. = 447 300,00 руб.</v>
      </c>
    </row>
    <row r="91" spans="1:24" ht="22.5" customHeight="1" x14ac:dyDescent="0.25">
      <c r="A91" s="383"/>
      <c r="B91" s="618"/>
      <c r="C91" s="64"/>
      <c r="D91" s="437"/>
      <c r="E91" s="437"/>
      <c r="F91" s="68" t="s">
        <v>193</v>
      </c>
      <c r="G91" s="66">
        <v>213</v>
      </c>
      <c r="H91" s="67" t="s">
        <v>48</v>
      </c>
      <c r="I91" s="66">
        <v>182</v>
      </c>
      <c r="J91" s="67" t="s">
        <v>49</v>
      </c>
      <c r="K91" s="66">
        <v>12</v>
      </c>
      <c r="L91" s="67" t="s">
        <v>50</v>
      </c>
      <c r="M91" s="66">
        <f t="shared" si="18"/>
        <v>465192</v>
      </c>
      <c r="N91" s="67" t="s">
        <v>41</v>
      </c>
      <c r="O91" s="70">
        <f>ROUNDUP((M91),-2)</f>
        <v>465200</v>
      </c>
      <c r="P91" s="71" t="s">
        <v>37</v>
      </c>
      <c r="Q91" s="67"/>
      <c r="R91" s="65"/>
      <c r="S91" s="65"/>
      <c r="T91" s="477"/>
      <c r="U91" s="477"/>
      <c r="V91" s="477"/>
      <c r="W91" s="64"/>
      <c r="X91" s="54" t="str">
        <f t="shared" si="19"/>
        <v>213,00 шт.ед. х норматив 182,00 руб. х 12,0 мес.  = 465 192,00 руб. = 465 200,00 руб.</v>
      </c>
    </row>
    <row r="92" spans="1:24" ht="45" x14ac:dyDescent="0.25">
      <c r="A92" s="51" t="s">
        <v>30</v>
      </c>
      <c r="B92" s="116" t="s">
        <v>105</v>
      </c>
      <c r="C92" s="52"/>
      <c r="D92" s="53" t="s">
        <v>35</v>
      </c>
      <c r="E92" s="53" t="s">
        <v>35</v>
      </c>
      <c r="F92" s="380"/>
      <c r="G92" s="380"/>
      <c r="H92" s="380"/>
      <c r="I92" s="380"/>
      <c r="J92" s="380"/>
      <c r="K92" s="380"/>
      <c r="L92" s="380"/>
      <c r="M92" s="380"/>
      <c r="N92" s="380"/>
      <c r="O92" s="380"/>
      <c r="P92" s="380"/>
      <c r="Q92" s="380"/>
      <c r="R92" s="380"/>
      <c r="S92" s="57"/>
      <c r="T92" s="110">
        <f>SUM(T93,T98)</f>
        <v>29400</v>
      </c>
      <c r="U92" s="110">
        <f t="shared" ref="U92:V92" si="20">SUM(U93,U98)</f>
        <v>30600</v>
      </c>
      <c r="V92" s="110">
        <f t="shared" si="20"/>
        <v>31900</v>
      </c>
      <c r="W92" s="52"/>
      <c r="X92" s="54" t="str">
        <f>"Нормативные "&amp;TEXT(B92,"0")&amp;" включают в себя:
нормативные "&amp;TEXT(B93,"0")&amp;";
нормативные "&amp;TEXT(B98,"0")&amp;""</f>
        <v>Нормативные затраты на проведение предрейсового и послерейсового осмотра водителей транспортных средств включают в себя:
нормативные затраты на проведение периодического медицинского осмотра;
нормативные затраты на проведение предрейсового медицинского осмотра</v>
      </c>
    </row>
    <row r="93" spans="1:24" ht="124.5" customHeight="1" x14ac:dyDescent="0.25">
      <c r="A93" s="383" t="s">
        <v>125</v>
      </c>
      <c r="B93" s="617" t="s">
        <v>106</v>
      </c>
      <c r="C93" s="64"/>
      <c r="D93" s="619">
        <v>226</v>
      </c>
      <c r="E93" s="619">
        <v>244</v>
      </c>
      <c r="F93" s="380" t="s">
        <v>148</v>
      </c>
      <c r="G93" s="380"/>
      <c r="H93" s="380"/>
      <c r="I93" s="380"/>
      <c r="J93" s="380"/>
      <c r="K93" s="380"/>
      <c r="L93" s="380"/>
      <c r="M93" s="380"/>
      <c r="N93" s="380"/>
      <c r="O93" s="380"/>
      <c r="P93" s="380"/>
      <c r="Q93" s="380"/>
      <c r="R93" s="380"/>
      <c r="S93" s="65"/>
      <c r="T93" s="477">
        <f>O95</f>
        <v>2900</v>
      </c>
      <c r="U93" s="420">
        <f>O96</f>
        <v>3000</v>
      </c>
      <c r="V93" s="477">
        <f>O97</f>
        <v>3100</v>
      </c>
      <c r="W93" s="64"/>
      <c r="X93" s="54" t="s">
        <v>74</v>
      </c>
    </row>
    <row r="94" spans="1:24" ht="20.25" customHeight="1" outlineLevel="1" x14ac:dyDescent="0.25">
      <c r="A94" s="383"/>
      <c r="B94" s="618"/>
      <c r="C94" s="64"/>
      <c r="D94" s="437"/>
      <c r="E94" s="620"/>
      <c r="F94" s="61"/>
      <c r="G94" s="66"/>
      <c r="H94" s="67" t="s">
        <v>66</v>
      </c>
      <c r="I94" s="66">
        <v>1</v>
      </c>
      <c r="J94" s="67" t="s">
        <v>73</v>
      </c>
      <c r="K94" s="66">
        <v>2751.67</v>
      </c>
      <c r="L94" s="67" t="s">
        <v>41</v>
      </c>
      <c r="M94" s="66">
        <f>ROUND((G94*I94*K94),2)</f>
        <v>0</v>
      </c>
      <c r="N94" s="67" t="s">
        <v>37</v>
      </c>
      <c r="O94" s="67"/>
      <c r="P94" s="67"/>
      <c r="Q94" s="67"/>
      <c r="R94" s="65"/>
      <c r="S94" s="65"/>
      <c r="T94" s="477"/>
      <c r="U94" s="421"/>
      <c r="V94" s="477"/>
      <c r="W94" s="64"/>
    </row>
    <row r="95" spans="1:24" ht="15" x14ac:dyDescent="0.25">
      <c r="A95" s="383"/>
      <c r="B95" s="618"/>
      <c r="C95" s="64"/>
      <c r="D95" s="437"/>
      <c r="E95" s="620"/>
      <c r="F95" s="68" t="s">
        <v>150</v>
      </c>
      <c r="G95" s="66">
        <v>1</v>
      </c>
      <c r="H95" s="65" t="s">
        <v>195</v>
      </c>
      <c r="I95" s="69">
        <v>1</v>
      </c>
      <c r="J95" s="67" t="s">
        <v>25</v>
      </c>
      <c r="K95" s="66">
        <f>2751.67*1.0389</f>
        <v>2858.7099629999998</v>
      </c>
      <c r="L95" s="67" t="s">
        <v>41</v>
      </c>
      <c r="M95" s="70">
        <f>K95*I95*G95</f>
        <v>2858.7099629999998</v>
      </c>
      <c r="N95" s="71" t="s">
        <v>37</v>
      </c>
      <c r="O95" s="70">
        <f>ROUNDUP((M95),-2)</f>
        <v>2900</v>
      </c>
      <c r="P95" s="71" t="s">
        <v>37</v>
      </c>
      <c r="Q95" s="72"/>
      <c r="R95" s="71" t="s">
        <v>37</v>
      </c>
      <c r="S95" s="65"/>
      <c r="T95" s="477"/>
      <c r="U95" s="421"/>
      <c r="V95" s="477"/>
      <c r="W95" s="64"/>
      <c r="X95" s="54" t="str">
        <f>""&amp;TEXT(G95,"0,0")&amp;" чел. х "&amp;TEXT(I95,"0,0")&amp;" раз х "&amp;TEXT(ROUND((K95),2),"0 000,00")&amp;" руб. = "&amp;TEXT(ROUND((M95),2),"0 000,00")&amp;" руб. = "&amp;TEXT(O95,"0 000,00")&amp;" руб."</f>
        <v>1,0 чел. х 1,0 раз х 2 858,71 руб. = 2 858,71 руб. = 2 900,00 руб.</v>
      </c>
    </row>
    <row r="96" spans="1:24" ht="15" customHeight="1" outlineLevel="1" collapsed="1" x14ac:dyDescent="0.25">
      <c r="A96" s="383"/>
      <c r="B96" s="618"/>
      <c r="C96" s="64"/>
      <c r="D96" s="437"/>
      <c r="E96" s="620"/>
      <c r="F96" s="68" t="s">
        <v>151</v>
      </c>
      <c r="G96" s="66">
        <v>1</v>
      </c>
      <c r="H96" s="67" t="str">
        <f>H95</f>
        <v xml:space="preserve">руб. х индекс потребительских цен </v>
      </c>
      <c r="I96" s="69">
        <v>1</v>
      </c>
      <c r="J96" s="67" t="s">
        <v>25</v>
      </c>
      <c r="K96" s="69">
        <f>K95*1.0408</f>
        <v>2975.3453294903998</v>
      </c>
      <c r="L96" s="67" t="s">
        <v>41</v>
      </c>
      <c r="M96" s="70">
        <f t="shared" ref="M96:M97" si="21">K96*I96*G96</f>
        <v>2975.3453294903998</v>
      </c>
      <c r="N96" s="71" t="s">
        <v>37</v>
      </c>
      <c r="O96" s="70">
        <f>ROUNDUP((M96),-2)</f>
        <v>3000</v>
      </c>
      <c r="P96" s="71" t="s">
        <v>37</v>
      </c>
      <c r="Q96" s="93"/>
      <c r="R96" s="71" t="s">
        <v>37</v>
      </c>
      <c r="S96" s="65"/>
      <c r="T96" s="477"/>
      <c r="U96" s="421"/>
      <c r="V96" s="477"/>
      <c r="W96" s="64"/>
      <c r="X96" s="54" t="str">
        <f t="shared" ref="X96:X97" si="22">""&amp;TEXT(G96,"0,0")&amp;" чел. х "&amp;TEXT(I96,"0,0")&amp;" раз х "&amp;TEXT(ROUND((K96),2),"0 000,00")&amp;" руб. = "&amp;TEXT(ROUND((M96),2),"0 000,00")&amp;" руб. = "&amp;TEXT(O96,"0 000,00")&amp;" руб."</f>
        <v>1,0 чел. х 1,0 раз х 2 975,35 руб. = 2 975,35 руб. = 3 000,00 руб.</v>
      </c>
    </row>
    <row r="97" spans="1:25" ht="15" x14ac:dyDescent="0.25">
      <c r="A97" s="383"/>
      <c r="B97" s="618"/>
      <c r="C97" s="64"/>
      <c r="D97" s="437"/>
      <c r="E97" s="620"/>
      <c r="F97" s="68" t="s">
        <v>193</v>
      </c>
      <c r="G97" s="66">
        <v>1</v>
      </c>
      <c r="H97" s="67" t="str">
        <f>H95</f>
        <v xml:space="preserve">руб. х индекс потребительских цен </v>
      </c>
      <c r="I97" s="69">
        <v>1</v>
      </c>
      <c r="J97" s="67" t="s">
        <v>25</v>
      </c>
      <c r="K97" s="69">
        <f>K96*1.0408</f>
        <v>3096.7394189336078</v>
      </c>
      <c r="L97" s="67" t="s">
        <v>41</v>
      </c>
      <c r="M97" s="70">
        <f t="shared" si="21"/>
        <v>3096.7394189336078</v>
      </c>
      <c r="N97" s="71" t="s">
        <v>37</v>
      </c>
      <c r="O97" s="70">
        <f>ROUNDUP((M97),-2)</f>
        <v>3100</v>
      </c>
      <c r="P97" s="71" t="s">
        <v>37</v>
      </c>
      <c r="Q97" s="70"/>
      <c r="R97" s="71" t="s">
        <v>37</v>
      </c>
      <c r="S97" s="65"/>
      <c r="T97" s="478"/>
      <c r="U97" s="422"/>
      <c r="V97" s="478"/>
      <c r="W97" s="64"/>
      <c r="X97" s="54" t="str">
        <f t="shared" si="22"/>
        <v>1,0 чел. х 1,0 раз х 3 096,74 руб. = 3 096,74 руб. = 3 100,00 руб.</v>
      </c>
    </row>
    <row r="98" spans="1:25" ht="120.75" customHeight="1" x14ac:dyDescent="0.25">
      <c r="A98" s="383" t="s">
        <v>126</v>
      </c>
      <c r="B98" s="628" t="s">
        <v>107</v>
      </c>
      <c r="C98" s="64"/>
      <c r="D98" s="619">
        <v>226</v>
      </c>
      <c r="E98" s="619">
        <v>244</v>
      </c>
      <c r="F98" s="380" t="s">
        <v>182</v>
      </c>
      <c r="G98" s="380"/>
      <c r="H98" s="380"/>
      <c r="I98" s="380"/>
      <c r="J98" s="380"/>
      <c r="K98" s="380"/>
      <c r="L98" s="380"/>
      <c r="M98" s="380"/>
      <c r="N98" s="380"/>
      <c r="O98" s="380"/>
      <c r="P98" s="380"/>
      <c r="Q98" s="380"/>
      <c r="R98" s="380"/>
      <c r="S98" s="65"/>
      <c r="T98" s="477">
        <f>O100</f>
        <v>26500</v>
      </c>
      <c r="U98" s="477">
        <f>O101</f>
        <v>27600</v>
      </c>
      <c r="V98" s="477">
        <f>Q102</f>
        <v>28800</v>
      </c>
      <c r="W98" s="64"/>
      <c r="X98" s="54" t="s">
        <v>69</v>
      </c>
    </row>
    <row r="99" spans="1:25" ht="17.25" customHeight="1" outlineLevel="1" x14ac:dyDescent="0.25">
      <c r="A99" s="383"/>
      <c r="B99" s="629"/>
      <c r="C99" s="64"/>
      <c r="D99" s="437"/>
      <c r="E99" s="620"/>
      <c r="F99" s="61"/>
      <c r="G99" s="66"/>
      <c r="H99" s="67" t="s">
        <v>66</v>
      </c>
      <c r="I99" s="66"/>
      <c r="J99" s="67" t="s">
        <v>67</v>
      </c>
      <c r="K99" s="66"/>
      <c r="L99" s="67" t="s">
        <v>41</v>
      </c>
      <c r="M99" s="66">
        <f>ROUND((G99*I99*K99),2)</f>
        <v>0</v>
      </c>
      <c r="N99" s="67" t="s">
        <v>37</v>
      </c>
      <c r="O99" s="67"/>
      <c r="P99" s="67"/>
      <c r="Q99" s="67"/>
      <c r="R99" s="65"/>
      <c r="S99" s="65"/>
      <c r="T99" s="477"/>
      <c r="U99" s="477"/>
      <c r="V99" s="477"/>
      <c r="W99" s="64"/>
    </row>
    <row r="100" spans="1:25" ht="18.75" customHeight="1" x14ac:dyDescent="0.25">
      <c r="A100" s="383"/>
      <c r="B100" s="629"/>
      <c r="C100" s="64"/>
      <c r="D100" s="437"/>
      <c r="E100" s="620"/>
      <c r="F100" s="68" t="s">
        <v>150</v>
      </c>
      <c r="G100" s="66">
        <v>1</v>
      </c>
      <c r="H100" s="65" t="s">
        <v>195</v>
      </c>
      <c r="I100" s="69">
        <v>223</v>
      </c>
      <c r="J100" s="67" t="s">
        <v>25</v>
      </c>
      <c r="K100" s="66">
        <v>118.82</v>
      </c>
      <c r="L100" s="67" t="s">
        <v>41</v>
      </c>
      <c r="M100" s="66">
        <f>ROUND((G100*I100*K100),2)</f>
        <v>26496.86</v>
      </c>
      <c r="N100" s="71" t="s">
        <v>37</v>
      </c>
      <c r="O100" s="70">
        <f>ROUNDUP((M100),-2)</f>
        <v>26500</v>
      </c>
      <c r="P100" s="71" t="s">
        <v>37</v>
      </c>
      <c r="Q100" s="70">
        <f t="shared" ref="Q100:Q101" si="23">ROUNDUP((O100),-2)</f>
        <v>26500</v>
      </c>
      <c r="R100" s="72"/>
      <c r="S100" s="65"/>
      <c r="T100" s="477"/>
      <c r="U100" s="477"/>
      <c r="V100" s="477"/>
      <c r="W100" s="64"/>
      <c r="X100" s="54" t="str">
        <f>""&amp;TEXT(G100,"0,0")&amp;" чел. х "&amp;TEXT(I100,"0,0")&amp;" раз х "&amp;TEXT(ROUND((K100),2),"0,00")&amp;" руб. = "&amp;TEXT(ROUND((M100),2),"0 000,00")&amp;" руб. = "&amp;TEXT(O100,"0 000,00")&amp;" руб."</f>
        <v>1,0 чел. х 223,0 раз х 118,82 руб. = 26 496,86 руб. = 26 500,00 руб.</v>
      </c>
    </row>
    <row r="101" spans="1:25" ht="19.5" customHeight="1" x14ac:dyDescent="0.25">
      <c r="A101" s="383"/>
      <c r="B101" s="629"/>
      <c r="C101" s="64"/>
      <c r="D101" s="437"/>
      <c r="E101" s="620"/>
      <c r="F101" s="68" t="s">
        <v>151</v>
      </c>
      <c r="G101" s="66">
        <v>1</v>
      </c>
      <c r="H101" s="67" t="str">
        <f>H100</f>
        <v xml:space="preserve">руб. х индекс потребительских цен </v>
      </c>
      <c r="I101" s="69">
        <v>223</v>
      </c>
      <c r="J101" s="67" t="s">
        <v>25</v>
      </c>
      <c r="K101" s="69">
        <v>123.66</v>
      </c>
      <c r="L101" s="67" t="s">
        <v>41</v>
      </c>
      <c r="M101" s="66">
        <f>ROUND((G101*I101*K101),2)</f>
        <v>27576.18</v>
      </c>
      <c r="N101" s="71" t="s">
        <v>37</v>
      </c>
      <c r="O101" s="70">
        <f>ROUNDUP((M101),-2)</f>
        <v>27600</v>
      </c>
      <c r="P101" s="71" t="s">
        <v>37</v>
      </c>
      <c r="Q101" s="70">
        <f t="shared" si="23"/>
        <v>27600</v>
      </c>
      <c r="R101" s="72"/>
      <c r="S101" s="65"/>
      <c r="T101" s="477"/>
      <c r="U101" s="477"/>
      <c r="V101" s="477"/>
      <c r="W101" s="64"/>
      <c r="X101" s="54" t="str">
        <f t="shared" ref="X101:X102" si="24">""&amp;TEXT(G101,"0,0")&amp;" чел. х "&amp;TEXT(I101,"0,0")&amp;" раз х "&amp;TEXT(ROUND((K101),2),"0,00")&amp;" руб. = "&amp;TEXT(ROUND((M101),2),"0 000,00")&amp;" руб. = "&amp;TEXT(O101,"0 000,00")&amp;" руб."</f>
        <v>1,0 чел. х 223,0 раз х 123,66 руб. = 27 576,18 руб. = 27 600,00 руб.</v>
      </c>
    </row>
    <row r="102" spans="1:25" ht="19.5" customHeight="1" x14ac:dyDescent="0.25">
      <c r="A102" s="383"/>
      <c r="B102" s="629"/>
      <c r="C102" s="64"/>
      <c r="D102" s="437"/>
      <c r="E102" s="620"/>
      <c r="F102" s="68" t="s">
        <v>193</v>
      </c>
      <c r="G102" s="66">
        <v>1</v>
      </c>
      <c r="H102" s="67" t="str">
        <f>H100</f>
        <v xml:space="preserve">руб. х индекс потребительских цен </v>
      </c>
      <c r="I102" s="69">
        <v>223</v>
      </c>
      <c r="J102" s="67" t="s">
        <v>25</v>
      </c>
      <c r="K102" s="69">
        <f>K101*1.0408</f>
        <v>128.70532799999998</v>
      </c>
      <c r="L102" s="67" t="s">
        <v>41</v>
      </c>
      <c r="M102" s="66">
        <f>ROUND((G102*I102*K102),2)</f>
        <v>28701.29</v>
      </c>
      <c r="N102" s="71" t="s">
        <v>37</v>
      </c>
      <c r="O102" s="70">
        <f>ROUNDUP((M102),-2)</f>
        <v>28800</v>
      </c>
      <c r="P102" s="71" t="s">
        <v>37</v>
      </c>
      <c r="Q102" s="70">
        <f>ROUNDUP((O102),-2)</f>
        <v>28800</v>
      </c>
      <c r="R102" s="71" t="s">
        <v>37</v>
      </c>
      <c r="S102" s="65"/>
      <c r="T102" s="478"/>
      <c r="U102" s="478"/>
      <c r="V102" s="478"/>
      <c r="W102" s="64"/>
      <c r="X102" s="54" t="str">
        <f t="shared" si="24"/>
        <v>1,0 чел. х 223,0 раз х 128,71 руб. = 28 701,29 руб. = 28 800,00 руб.</v>
      </c>
    </row>
    <row r="103" spans="1:25" ht="117" customHeight="1" x14ac:dyDescent="0.25">
      <c r="A103" s="383" t="s">
        <v>31</v>
      </c>
      <c r="B103" s="617" t="s">
        <v>184</v>
      </c>
      <c r="C103" s="64"/>
      <c r="D103" s="619">
        <v>226</v>
      </c>
      <c r="E103" s="619">
        <v>244</v>
      </c>
      <c r="F103" s="380" t="s">
        <v>141</v>
      </c>
      <c r="G103" s="380"/>
      <c r="H103" s="380"/>
      <c r="I103" s="380"/>
      <c r="J103" s="380"/>
      <c r="K103" s="380"/>
      <c r="L103" s="380"/>
      <c r="M103" s="380"/>
      <c r="N103" s="380"/>
      <c r="O103" s="380"/>
      <c r="P103" s="380"/>
      <c r="Q103" s="380"/>
      <c r="R103" s="380"/>
      <c r="S103" s="65"/>
      <c r="T103" s="477">
        <f>O105</f>
        <v>150500</v>
      </c>
      <c r="U103" s="477">
        <f>O106</f>
        <v>156600</v>
      </c>
      <c r="V103" s="477">
        <f>O107</f>
        <v>163000</v>
      </c>
      <c r="W103" s="64"/>
      <c r="X103" s="54" t="s">
        <v>185</v>
      </c>
    </row>
    <row r="104" spans="1:25" ht="16.5" customHeight="1" outlineLevel="1" x14ac:dyDescent="0.25">
      <c r="A104" s="383"/>
      <c r="B104" s="618"/>
      <c r="C104" s="64"/>
      <c r="D104" s="437"/>
      <c r="E104" s="620"/>
      <c r="F104" s="61"/>
      <c r="G104" s="66">
        <v>1</v>
      </c>
      <c r="H104" s="67" t="s">
        <v>70</v>
      </c>
      <c r="I104" s="66">
        <v>12</v>
      </c>
      <c r="J104" s="67" t="s">
        <v>63</v>
      </c>
      <c r="K104" s="66"/>
      <c r="L104" s="67" t="s">
        <v>41</v>
      </c>
      <c r="M104" s="66">
        <f>ROUND((G104*I104*K104),2)</f>
        <v>0</v>
      </c>
      <c r="N104" s="67" t="s">
        <v>37</v>
      </c>
      <c r="O104" s="67"/>
      <c r="P104" s="67"/>
      <c r="Q104" s="67"/>
      <c r="R104" s="65"/>
      <c r="S104" s="65"/>
      <c r="T104" s="477"/>
      <c r="U104" s="477"/>
      <c r="V104" s="477"/>
      <c r="W104" s="64"/>
      <c r="X104" s="54"/>
    </row>
    <row r="105" spans="1:25" ht="21" customHeight="1" x14ac:dyDescent="0.25">
      <c r="A105" s="383"/>
      <c r="B105" s="618"/>
      <c r="C105" s="64"/>
      <c r="D105" s="437"/>
      <c r="E105" s="620"/>
      <c r="F105" s="68" t="s">
        <v>150</v>
      </c>
      <c r="G105" s="66">
        <v>1</v>
      </c>
      <c r="H105" s="65" t="s">
        <v>195</v>
      </c>
      <c r="I105" s="69">
        <v>12</v>
      </c>
      <c r="J105" s="67" t="s">
        <v>25</v>
      </c>
      <c r="K105" s="66">
        <v>12536.06</v>
      </c>
      <c r="L105" s="67" t="s">
        <v>41</v>
      </c>
      <c r="M105" s="66">
        <f>ROUND((G105*I105*K105),2)</f>
        <v>150432.72</v>
      </c>
      <c r="N105" s="71" t="s">
        <v>37</v>
      </c>
      <c r="O105" s="70">
        <f>ROUNDUP((M105),-2)</f>
        <v>150500</v>
      </c>
      <c r="P105" s="71" t="s">
        <v>37</v>
      </c>
      <c r="Q105" s="70">
        <f t="shared" ref="Q105:Q106" si="25">ROUNDUP((O105),-2)</f>
        <v>150500</v>
      </c>
      <c r="R105" s="71" t="s">
        <v>37</v>
      </c>
      <c r="S105" s="65"/>
      <c r="T105" s="477"/>
      <c r="U105" s="477"/>
      <c r="V105" s="477"/>
      <c r="W105" s="64"/>
      <c r="X105" s="54" t="str">
        <f>""&amp;TEXT($G$104,"0,0")&amp;" х "&amp;TEXT($I$104,"0,0")&amp;" раз х "&amp;TEXT(ROUND((K105),2),"0 000,00")&amp;" руб. = "&amp;TEXT(ROUND(M105,2),"0 000,00")&amp;" руб. = "&amp;TEXT(O105,"0 000,00")&amp;" руб."</f>
        <v>1,0 х 12,0 раз х 12 536,06 руб. = 150 432,72 руб. = 150 500,00 руб.</v>
      </c>
    </row>
    <row r="106" spans="1:25" ht="21" customHeight="1" x14ac:dyDescent="0.25">
      <c r="A106" s="383"/>
      <c r="B106" s="618"/>
      <c r="C106" s="64"/>
      <c r="D106" s="437"/>
      <c r="E106" s="620"/>
      <c r="F106" s="68" t="s">
        <v>151</v>
      </c>
      <c r="G106" s="66">
        <v>1</v>
      </c>
      <c r="H106" s="67" t="str">
        <f>H105</f>
        <v xml:space="preserve">руб. х индекс потребительских цен </v>
      </c>
      <c r="I106" s="69">
        <v>12</v>
      </c>
      <c r="J106" s="67" t="s">
        <v>25</v>
      </c>
      <c r="K106" s="69">
        <v>13047.54</v>
      </c>
      <c r="L106" s="67" t="s">
        <v>41</v>
      </c>
      <c r="M106" s="66">
        <f>ROUND((G106*I106*K106),2)</f>
        <v>156570.48000000001</v>
      </c>
      <c r="N106" s="71" t="s">
        <v>37</v>
      </c>
      <c r="O106" s="70">
        <f>ROUNDUP((M106),-2)</f>
        <v>156600</v>
      </c>
      <c r="P106" s="71" t="s">
        <v>37</v>
      </c>
      <c r="Q106" s="70">
        <f t="shared" si="25"/>
        <v>156600</v>
      </c>
      <c r="R106" s="71" t="s">
        <v>37</v>
      </c>
      <c r="S106" s="65"/>
      <c r="T106" s="477"/>
      <c r="U106" s="477"/>
      <c r="V106" s="477"/>
      <c r="W106" s="64"/>
      <c r="X106" s="54" t="str">
        <f t="shared" ref="X106:X107" si="26">""&amp;TEXT($G$104,"0,0")&amp;" х "&amp;TEXT($I$104,"0,0")&amp;" раз х "&amp;TEXT(ROUND((K106),2),"0 000,00")&amp;" руб. = "&amp;TEXT(ROUND(M106,2),"0 000,00")&amp;" руб. = "&amp;TEXT(O106,"0 000,00")&amp;" руб."</f>
        <v>1,0 х 12,0 раз х 13 047,54 руб. = 156 570,48 руб. = 156 600,00 руб.</v>
      </c>
    </row>
    <row r="107" spans="1:25" ht="21" customHeight="1" x14ac:dyDescent="0.25">
      <c r="A107" s="383"/>
      <c r="B107" s="618"/>
      <c r="C107" s="64"/>
      <c r="D107" s="437"/>
      <c r="E107" s="620"/>
      <c r="F107" s="68" t="s">
        <v>193</v>
      </c>
      <c r="G107" s="66">
        <v>1</v>
      </c>
      <c r="H107" s="67" t="str">
        <f>H105</f>
        <v xml:space="preserve">руб. х индекс потребительских цен </v>
      </c>
      <c r="I107" s="69">
        <f>$I$105</f>
        <v>12</v>
      </c>
      <c r="J107" s="67" t="s">
        <v>25</v>
      </c>
      <c r="K107" s="69">
        <f>K106*1.0408</f>
        <v>13579.879632</v>
      </c>
      <c r="L107" s="67" t="s">
        <v>41</v>
      </c>
      <c r="M107" s="66">
        <f>ROUND((G107*I107*K107),2)</f>
        <v>162958.56</v>
      </c>
      <c r="N107" s="71" t="s">
        <v>37</v>
      </c>
      <c r="O107" s="70">
        <f>ROUNDUP((M107),-2)</f>
        <v>163000</v>
      </c>
      <c r="P107" s="71" t="s">
        <v>37</v>
      </c>
      <c r="Q107" s="70">
        <f>ROUNDUP((O107),-2)</f>
        <v>163000</v>
      </c>
      <c r="R107" s="71" t="s">
        <v>37</v>
      </c>
      <c r="S107" s="65"/>
      <c r="T107" s="478"/>
      <c r="U107" s="478"/>
      <c r="V107" s="478"/>
      <c r="W107" s="64"/>
      <c r="X107" s="54" t="str">
        <f t="shared" si="26"/>
        <v>1,0 х 12,0 раз х 13 579,88 руб. = 162 958,56 руб. = 163 000,00 руб.</v>
      </c>
    </row>
    <row r="108" spans="1:25" ht="75" x14ac:dyDescent="0.25">
      <c r="A108" s="383" t="s">
        <v>131</v>
      </c>
      <c r="B108" s="617" t="s">
        <v>108</v>
      </c>
      <c r="C108" s="64"/>
      <c r="D108" s="619">
        <v>227</v>
      </c>
      <c r="E108" s="619">
        <v>244</v>
      </c>
      <c r="F108" s="380" t="s">
        <v>141</v>
      </c>
      <c r="G108" s="380"/>
      <c r="H108" s="380"/>
      <c r="I108" s="380"/>
      <c r="J108" s="380"/>
      <c r="K108" s="380"/>
      <c r="L108" s="380"/>
      <c r="M108" s="380"/>
      <c r="N108" s="380"/>
      <c r="O108" s="380"/>
      <c r="P108" s="380"/>
      <c r="Q108" s="380"/>
      <c r="R108" s="380"/>
      <c r="S108" s="65"/>
      <c r="T108" s="477">
        <f>M110</f>
        <v>10600</v>
      </c>
      <c r="U108" s="477">
        <f>O111</f>
        <v>11100</v>
      </c>
      <c r="V108" s="477">
        <f>Q112</f>
        <v>11500</v>
      </c>
      <c r="W108" s="64"/>
      <c r="X108" s="54" t="s">
        <v>71</v>
      </c>
    </row>
    <row r="109" spans="1:25" ht="15.75" customHeight="1" outlineLevel="1" x14ac:dyDescent="0.25">
      <c r="A109" s="383"/>
      <c r="B109" s="618"/>
      <c r="C109" s="64"/>
      <c r="D109" s="437"/>
      <c r="E109" s="620"/>
      <c r="F109" s="61"/>
      <c r="G109" s="66">
        <v>1</v>
      </c>
      <c r="H109" s="67" t="s">
        <v>72</v>
      </c>
      <c r="I109" s="66"/>
      <c r="J109" s="67" t="s">
        <v>41</v>
      </c>
      <c r="K109" s="66">
        <f>ROUND((G109*I109),2)</f>
        <v>0</v>
      </c>
      <c r="L109" s="67" t="s">
        <v>37</v>
      </c>
      <c r="M109" s="67"/>
      <c r="N109" s="67"/>
      <c r="O109" s="67"/>
      <c r="P109" s="67"/>
      <c r="Q109" s="67"/>
      <c r="R109" s="65"/>
      <c r="S109" s="65"/>
      <c r="T109" s="477"/>
      <c r="U109" s="477"/>
      <c r="V109" s="477"/>
      <c r="W109" s="64"/>
      <c r="X109" s="54"/>
    </row>
    <row r="110" spans="1:25" ht="19.5" customHeight="1" x14ac:dyDescent="0.25">
      <c r="A110" s="383"/>
      <c r="B110" s="618"/>
      <c r="C110" s="64"/>
      <c r="D110" s="437"/>
      <c r="E110" s="620"/>
      <c r="F110" s="68" t="s">
        <v>150</v>
      </c>
      <c r="G110" s="66">
        <v>1</v>
      </c>
      <c r="H110" s="65" t="s">
        <v>195</v>
      </c>
      <c r="I110" s="69">
        <v>10598.77</v>
      </c>
      <c r="J110" s="67" t="s">
        <v>25</v>
      </c>
      <c r="K110" s="66">
        <f>I110*G110</f>
        <v>10598.77</v>
      </c>
      <c r="L110" s="67" t="s">
        <v>41</v>
      </c>
      <c r="M110" s="70">
        <f>ROUNDUP((K110),-2)</f>
        <v>10600</v>
      </c>
      <c r="N110" s="71" t="s">
        <v>37</v>
      </c>
      <c r="O110" s="70">
        <f>ROUNDUP((M110),-2)</f>
        <v>10600</v>
      </c>
      <c r="P110" s="72"/>
      <c r="Q110" s="72"/>
      <c r="R110" s="72"/>
      <c r="S110" s="65"/>
      <c r="T110" s="477"/>
      <c r="U110" s="477"/>
      <c r="V110" s="477"/>
      <c r="W110" s="64"/>
      <c r="X110" s="54" t="str">
        <f>""&amp;TEXT(G110,"0,0")&amp;" авт. х "&amp;TEXT(ROUND((I110),2),"0 000,00")&amp;" руб. = "&amp;TEXT(ROUND(($G$109*(ROUND((K110/$G$109),2))),2),"0 000,00")&amp;" руб. = "&amp;TEXT(M110,"0 000,00")&amp;" руб."</f>
        <v>1,0 авт. х 10 598,77 руб. = 10 598,77 руб. = 10 600,00 руб.</v>
      </c>
    </row>
    <row r="111" spans="1:25" ht="19.5" customHeight="1" x14ac:dyDescent="0.25">
      <c r="A111" s="383"/>
      <c r="B111" s="618"/>
      <c r="C111" s="64"/>
      <c r="D111" s="437"/>
      <c r="E111" s="620"/>
      <c r="F111" s="68" t="s">
        <v>151</v>
      </c>
      <c r="G111" s="66">
        <v>1</v>
      </c>
      <c r="H111" s="67" t="str">
        <f>H110</f>
        <v xml:space="preserve">руб. х индекс потребительских цен </v>
      </c>
      <c r="I111" s="69">
        <v>11031.2</v>
      </c>
      <c r="J111" s="67" t="s">
        <v>25</v>
      </c>
      <c r="K111" s="66">
        <f t="shared" ref="K111:K112" si="27">I111*G111</f>
        <v>11031.2</v>
      </c>
      <c r="L111" s="67" t="s">
        <v>41</v>
      </c>
      <c r="M111" s="70">
        <f t="shared" ref="M111:M112" si="28">ROUNDUP((K111),-2)</f>
        <v>11100</v>
      </c>
      <c r="N111" s="67" t="s">
        <v>41</v>
      </c>
      <c r="O111" s="70">
        <f>ROUNDUP((M111),-2)</f>
        <v>11100</v>
      </c>
      <c r="P111" s="71" t="s">
        <v>37</v>
      </c>
      <c r="Q111" s="72"/>
      <c r="R111" s="72"/>
      <c r="S111" s="65"/>
      <c r="T111" s="477"/>
      <c r="U111" s="477"/>
      <c r="V111" s="477"/>
      <c r="W111" s="64"/>
      <c r="X111" s="54" t="str">
        <f t="shared" ref="X111:X112" si="29">""&amp;TEXT(G111,"0,0")&amp;" авт. х "&amp;TEXT(ROUND((K111/$G$109),2),"0 000,00")&amp;" руб. = "&amp;TEXT(ROUND(($G$109*(ROUND((K111/$G$109),2))),2),"0 000,00")&amp;" руб. = "&amp;TEXT(M111,"0 000,00")&amp;" руб."</f>
        <v>1,0 авт. х 11 031,20 руб. = 11 031,20 руб. = 11 100,00 руб.</v>
      </c>
    </row>
    <row r="112" spans="1:25" s="95" customFormat="1" ht="19.5" customHeight="1" x14ac:dyDescent="0.25">
      <c r="A112" s="383"/>
      <c r="B112" s="618"/>
      <c r="C112" s="64"/>
      <c r="D112" s="437"/>
      <c r="E112" s="620"/>
      <c r="F112" s="68" t="s">
        <v>193</v>
      </c>
      <c r="G112" s="66">
        <v>1</v>
      </c>
      <c r="H112" s="67" t="str">
        <f>H110</f>
        <v xml:space="preserve">руб. х индекс потребительских цен </v>
      </c>
      <c r="I112" s="69">
        <f>I111*1.0408</f>
        <v>11481.27296</v>
      </c>
      <c r="J112" s="67" t="s">
        <v>25</v>
      </c>
      <c r="K112" s="66">
        <f t="shared" si="27"/>
        <v>11481.27296</v>
      </c>
      <c r="L112" s="67" t="s">
        <v>41</v>
      </c>
      <c r="M112" s="70">
        <f t="shared" si="28"/>
        <v>11500</v>
      </c>
      <c r="N112" s="67" t="s">
        <v>25</v>
      </c>
      <c r="O112" s="70">
        <f>ROUNDUP((M112),-2)</f>
        <v>11500</v>
      </c>
      <c r="P112" s="67" t="s">
        <v>41</v>
      </c>
      <c r="Q112" s="70">
        <f>ROUNDUP((O112),-2)</f>
        <v>11500</v>
      </c>
      <c r="R112" s="71" t="s">
        <v>37</v>
      </c>
      <c r="S112" s="65"/>
      <c r="T112" s="478"/>
      <c r="U112" s="478"/>
      <c r="V112" s="478"/>
      <c r="W112" s="64"/>
      <c r="X112" s="54" t="str">
        <f t="shared" si="29"/>
        <v>1,0 авт. х 11 481,27 руб. = 11 481,27 руб. = 11 500,00 руб.</v>
      </c>
      <c r="Y112" s="94"/>
    </row>
    <row r="113" spans="1:25" s="95" customFormat="1" ht="75" x14ac:dyDescent="0.25">
      <c r="A113" s="96" t="s">
        <v>14</v>
      </c>
      <c r="B113" s="123" t="s">
        <v>101</v>
      </c>
      <c r="C113" s="52"/>
      <c r="D113" s="53" t="s">
        <v>35</v>
      </c>
      <c r="E113" s="53" t="s">
        <v>35</v>
      </c>
      <c r="F113" s="423"/>
      <c r="G113" s="424"/>
      <c r="H113" s="424"/>
      <c r="I113" s="424"/>
      <c r="J113" s="424"/>
      <c r="K113" s="424"/>
      <c r="L113" s="424"/>
      <c r="M113" s="424"/>
      <c r="N113" s="424"/>
      <c r="O113" s="424"/>
      <c r="P113" s="424"/>
      <c r="Q113" s="424"/>
      <c r="R113" s="424"/>
      <c r="S113" s="424"/>
      <c r="T113" s="112">
        <f>SUM(T114,T118,T123)</f>
        <v>2586300</v>
      </c>
      <c r="U113" s="112">
        <f t="shared" ref="U113:V113" si="30">SUM(U114,U118,U123)</f>
        <v>2694100</v>
      </c>
      <c r="V113" s="112">
        <f t="shared" si="30"/>
        <v>2805400</v>
      </c>
      <c r="W113" s="52"/>
      <c r="X113" s="86" t="str">
        <f>"Нормативные "&amp;TEXT(B113,"0")&amp;" включают в себя:
нормативные "&amp;TEXT(B114,"0")&amp;";
нормативные "&amp;TEXT(B118,"0")&amp;";
нормативные "&amp;TEXT(B123,"0")&amp;""</f>
        <v>Нормативные затраты на приобретение основных средств включают в себя:
нормативные затраты на приобретение мебели;
нормативные затраты на приобретение систем кондиционирования;
нормативные затраты на приобретение прочих основных средств (калькулятор, вентилятор, электрочайник, микроволновая печь, холодильник, счетчик банкнот и т.п.)</v>
      </c>
    </row>
    <row r="114" spans="1:25" s="95" customFormat="1" ht="121.5" customHeight="1" x14ac:dyDescent="0.25">
      <c r="A114" s="388" t="s">
        <v>15</v>
      </c>
      <c r="B114" s="625" t="s">
        <v>102</v>
      </c>
      <c r="C114" s="64"/>
      <c r="D114" s="614">
        <v>310</v>
      </c>
      <c r="E114" s="614">
        <v>244</v>
      </c>
      <c r="F114" s="417" t="s">
        <v>53</v>
      </c>
      <c r="G114" s="418"/>
      <c r="H114" s="418"/>
      <c r="I114" s="418"/>
      <c r="J114" s="418"/>
      <c r="K114" s="418"/>
      <c r="L114" s="418"/>
      <c r="M114" s="418"/>
      <c r="N114" s="418"/>
      <c r="O114" s="418"/>
      <c r="P114" s="418"/>
      <c r="Q114" s="418"/>
      <c r="R114" s="419"/>
      <c r="S114" s="65"/>
      <c r="T114" s="420">
        <f>Q115</f>
        <v>1075400</v>
      </c>
      <c r="U114" s="420">
        <f>Q116</f>
        <v>1121700</v>
      </c>
      <c r="V114" s="420">
        <f>Q117</f>
        <v>1168800</v>
      </c>
      <c r="W114" s="64"/>
      <c r="X114" s="54" t="s">
        <v>54</v>
      </c>
    </row>
    <row r="115" spans="1:25" s="95" customFormat="1" ht="21" customHeight="1" x14ac:dyDescent="0.25">
      <c r="A115" s="389"/>
      <c r="B115" s="626"/>
      <c r="C115" s="64"/>
      <c r="D115" s="615"/>
      <c r="E115" s="615"/>
      <c r="F115" s="68" t="s">
        <v>158</v>
      </c>
      <c r="G115" s="66">
        <v>40393</v>
      </c>
      <c r="H115" s="67" t="s">
        <v>42</v>
      </c>
      <c r="I115" s="66">
        <v>213</v>
      </c>
      <c r="J115" s="67" t="s">
        <v>45</v>
      </c>
      <c r="K115" s="66">
        <v>8</v>
      </c>
      <c r="L115" s="67" t="s">
        <v>43</v>
      </c>
      <c r="M115" s="66">
        <v>0</v>
      </c>
      <c r="N115" s="67" t="s">
        <v>44</v>
      </c>
      <c r="O115" s="66">
        <f>ROUND((G115*(I115/K115+M115)),2)</f>
        <v>1075463.6299999999</v>
      </c>
      <c r="P115" s="67" t="s">
        <v>41</v>
      </c>
      <c r="Q115" s="70">
        <f>ROUNDDOWN((O115),-2)</f>
        <v>1075400</v>
      </c>
      <c r="R115" s="71" t="s">
        <v>37</v>
      </c>
      <c r="S115" s="65"/>
      <c r="T115" s="421"/>
      <c r="U115" s="421"/>
      <c r="V115" s="421"/>
      <c r="W115" s="64"/>
      <c r="X115" s="54" t="str">
        <f>"норматив "&amp;TEXT(G115,"0 000,00")&amp;" руб. х ("&amp;TEXT(I115,"000,00")&amp;" шт.ед. : срок "&amp;TEXT(K115,"0")&amp;" лет + "&amp;TEXT(M115,"0,00")&amp;" шт.ед.) = "&amp;TEXT(O115,"0 000,00")&amp;" руб. = "&amp;TEXT(Q115,"0 000,00")&amp;" руб."</f>
        <v>норматив 40 393,00 руб. х (213,00 шт.ед. : срок 8 лет + 0,00 шт.ед.) = 1 075 463,63 руб. = 1 075 400,00 руб.</v>
      </c>
      <c r="Y115" s="94"/>
    </row>
    <row r="116" spans="1:25" s="95" customFormat="1" ht="21" customHeight="1" x14ac:dyDescent="0.25">
      <c r="A116" s="389"/>
      <c r="B116" s="626"/>
      <c r="C116" s="64"/>
      <c r="D116" s="615"/>
      <c r="E116" s="615"/>
      <c r="F116" s="68" t="s">
        <v>159</v>
      </c>
      <c r="G116" s="66">
        <v>42130</v>
      </c>
      <c r="H116" s="67" t="s">
        <v>42</v>
      </c>
      <c r="I116" s="66">
        <v>213</v>
      </c>
      <c r="J116" s="67" t="s">
        <v>45</v>
      </c>
      <c r="K116" s="66">
        <v>8</v>
      </c>
      <c r="L116" s="67" t="s">
        <v>43</v>
      </c>
      <c r="M116" s="66">
        <v>0</v>
      </c>
      <c r="N116" s="67" t="s">
        <v>44</v>
      </c>
      <c r="O116" s="66">
        <f>ROUND((G116*(I116/K116+M116)),2)</f>
        <v>1121711.25</v>
      </c>
      <c r="P116" s="67" t="s">
        <v>41</v>
      </c>
      <c r="Q116" s="70">
        <f>ROUNDDOWN((O116),-2)</f>
        <v>1121700</v>
      </c>
      <c r="R116" s="71" t="s">
        <v>37</v>
      </c>
      <c r="S116" s="65"/>
      <c r="T116" s="421"/>
      <c r="U116" s="421"/>
      <c r="V116" s="421"/>
      <c r="W116" s="64"/>
      <c r="X116" s="54" t="str">
        <f t="shared" ref="X116:X117" si="31">"норматив "&amp;TEXT(G116,"0 000,00")&amp;" руб. х ("&amp;TEXT(I116,"000,00")&amp;" шт.ед. : срок "&amp;TEXT(K116,"0")&amp;" лет + "&amp;TEXT(M116,"0,00")&amp;" шт.ед.) = "&amp;TEXT(O116,"0 000,00")&amp;" руб. = "&amp;TEXT(Q116,"0 000,00")&amp;" руб."</f>
        <v>норматив 42 130,00 руб. х (213,00 шт.ед. : срок 8 лет + 0,00 шт.ед.) = 1 121 711,25 руб. = 1 121 700,00 руб.</v>
      </c>
      <c r="Y116" s="94"/>
    </row>
    <row r="117" spans="1:25" s="95" customFormat="1" ht="21" customHeight="1" x14ac:dyDescent="0.25">
      <c r="A117" s="390"/>
      <c r="B117" s="627"/>
      <c r="C117" s="64"/>
      <c r="D117" s="616"/>
      <c r="E117" s="616"/>
      <c r="F117" s="68" t="s">
        <v>194</v>
      </c>
      <c r="G117" s="66">
        <v>43899</v>
      </c>
      <c r="H117" s="67" t="s">
        <v>42</v>
      </c>
      <c r="I117" s="66">
        <v>213</v>
      </c>
      <c r="J117" s="67" t="s">
        <v>45</v>
      </c>
      <c r="K117" s="66">
        <v>8</v>
      </c>
      <c r="L117" s="67" t="s">
        <v>43</v>
      </c>
      <c r="M117" s="66">
        <v>0</v>
      </c>
      <c r="N117" s="67" t="s">
        <v>44</v>
      </c>
      <c r="O117" s="66">
        <f>ROUND((G117*(I117/K117+M117)),2)</f>
        <v>1168810.8799999999</v>
      </c>
      <c r="P117" s="67" t="s">
        <v>41</v>
      </c>
      <c r="Q117" s="70">
        <f>ROUNDDOWN((O117),-2)</f>
        <v>1168800</v>
      </c>
      <c r="R117" s="71" t="s">
        <v>37</v>
      </c>
      <c r="S117" s="61"/>
      <c r="T117" s="422"/>
      <c r="U117" s="422"/>
      <c r="V117" s="422"/>
      <c r="W117" s="64"/>
      <c r="X117" s="54" t="str">
        <f t="shared" si="31"/>
        <v>норматив 43 899,00 руб. х (213,00 шт.ед. : срок 8 лет + 0,00 шт.ед.) = 1 168 810,88 руб. = 1 168 800,00 руб.</v>
      </c>
    </row>
    <row r="118" spans="1:25" ht="75" x14ac:dyDescent="0.25">
      <c r="A118" s="388" t="s">
        <v>181</v>
      </c>
      <c r="B118" s="611" t="s">
        <v>147</v>
      </c>
      <c r="C118" s="64"/>
      <c r="D118" s="619">
        <v>310</v>
      </c>
      <c r="E118" s="619">
        <v>244</v>
      </c>
      <c r="F118" s="622"/>
      <c r="G118" s="622"/>
      <c r="H118" s="622"/>
      <c r="I118" s="622"/>
      <c r="J118" s="622"/>
      <c r="K118" s="622"/>
      <c r="L118" s="622"/>
      <c r="M118" s="622"/>
      <c r="N118" s="622"/>
      <c r="O118" s="622"/>
      <c r="P118" s="622"/>
      <c r="Q118" s="622"/>
      <c r="R118" s="622"/>
      <c r="S118" s="65"/>
      <c r="T118" s="477">
        <f>M120</f>
        <v>1416200</v>
      </c>
      <c r="U118" s="477">
        <f>M121</f>
        <v>1473900</v>
      </c>
      <c r="V118" s="477">
        <f>M122</f>
        <v>1534100</v>
      </c>
      <c r="W118" s="64"/>
      <c r="X118" s="54" t="s">
        <v>169</v>
      </c>
    </row>
    <row r="119" spans="1:25" ht="13.5" customHeight="1" outlineLevel="1" x14ac:dyDescent="0.25">
      <c r="A119" s="389"/>
      <c r="B119" s="612"/>
      <c r="C119" s="64"/>
      <c r="D119" s="619"/>
      <c r="E119" s="619"/>
      <c r="F119" s="61"/>
      <c r="G119" s="66"/>
      <c r="H119" s="67"/>
      <c r="I119" s="66"/>
      <c r="J119" s="67"/>
      <c r="K119" s="66"/>
      <c r="L119" s="67" t="s">
        <v>37</v>
      </c>
      <c r="M119" s="67"/>
      <c r="N119" s="67"/>
      <c r="O119" s="67"/>
      <c r="P119" s="67"/>
      <c r="Q119" s="67"/>
      <c r="R119" s="65"/>
      <c r="S119" s="65"/>
      <c r="T119" s="477"/>
      <c r="U119" s="477"/>
      <c r="V119" s="477"/>
      <c r="W119" s="64"/>
      <c r="X119" s="54"/>
    </row>
    <row r="120" spans="1:25" ht="24.75" customHeight="1" x14ac:dyDescent="0.25">
      <c r="A120" s="389"/>
      <c r="B120" s="623"/>
      <c r="C120" s="64"/>
      <c r="D120" s="621"/>
      <c r="E120" s="621"/>
      <c r="F120" s="68" t="s">
        <v>150</v>
      </c>
      <c r="G120" s="66">
        <v>30</v>
      </c>
      <c r="H120" s="67" t="s">
        <v>78</v>
      </c>
      <c r="I120" s="69">
        <v>47204.04</v>
      </c>
      <c r="J120" s="67" t="s">
        <v>41</v>
      </c>
      <c r="K120" s="66">
        <f>ROUND((G120*I120),2)</f>
        <v>1416121.2</v>
      </c>
      <c r="L120" s="67" t="s">
        <v>41</v>
      </c>
      <c r="M120" s="70">
        <f>ROUNDUP((K120),-2)</f>
        <v>1416200</v>
      </c>
      <c r="N120" s="71" t="s">
        <v>37</v>
      </c>
      <c r="O120" s="70">
        <f>ROUNDDOWN((M120),-2)</f>
        <v>1416200</v>
      </c>
      <c r="P120" s="67"/>
      <c r="Q120" s="67"/>
      <c r="R120" s="65"/>
      <c r="S120" s="65"/>
      <c r="T120" s="477"/>
      <c r="U120" s="477"/>
      <c r="V120" s="477"/>
      <c r="W120" s="64"/>
      <c r="X120" s="54" t="str">
        <f>""&amp;TEXT(G120,"0,0")&amp;" шт. х "&amp;TEXT(ROUND((I120),2),"000,00")&amp;" руб. = "&amp;TEXT(ROUND(($G$125*(ROUND((K120/$G$125),2))),2),"0 000,00")&amp;" руб. = "&amp;TEXT(M120,"0 000,00")&amp;" руб."</f>
        <v>30,0 шт. х 47204,04 руб. = 1 416 121,20 руб. = 1 416 200,00 руб.</v>
      </c>
    </row>
    <row r="121" spans="1:25" ht="20.25" customHeight="1" outlineLevel="1" x14ac:dyDescent="0.25">
      <c r="A121" s="389"/>
      <c r="B121" s="623"/>
      <c r="C121" s="64"/>
      <c r="D121" s="621"/>
      <c r="E121" s="621"/>
      <c r="F121" s="68" t="s">
        <v>151</v>
      </c>
      <c r="G121" s="66">
        <v>30</v>
      </c>
      <c r="H121" s="67" t="s">
        <v>78</v>
      </c>
      <c r="I121" s="69">
        <v>49129.97</v>
      </c>
      <c r="J121" s="67" t="s">
        <v>41</v>
      </c>
      <c r="K121" s="66">
        <f t="shared" ref="K121:K122" si="32">ROUND((G121*I121),2)</f>
        <v>1473899.1</v>
      </c>
      <c r="L121" s="67" t="s">
        <v>41</v>
      </c>
      <c r="M121" s="70">
        <f t="shared" ref="M121:M122" si="33">ROUNDUP((K121),-2)</f>
        <v>1473900</v>
      </c>
      <c r="N121" s="71" t="s">
        <v>37</v>
      </c>
      <c r="O121" s="70">
        <f t="shared" ref="O121:O122" si="34">ROUNDDOWN((M121),-2)</f>
        <v>1473900</v>
      </c>
      <c r="P121" s="71"/>
      <c r="Q121" s="93"/>
      <c r="R121" s="67"/>
      <c r="S121" s="65"/>
      <c r="T121" s="477"/>
      <c r="U121" s="477"/>
      <c r="V121" s="477"/>
      <c r="W121" s="64"/>
      <c r="X121" s="54" t="str">
        <f>""&amp;TEXT(G121,"0,0")&amp;" шт. х "&amp;TEXT(ROUND((I121),2),"000,00")&amp;" руб. = "&amp;TEXT(ROUND(($G$125*(ROUND((K121/$G$125),2))),2),"0 000,00")&amp;" руб. = "&amp;TEXT(M121,"0 000,00")&amp;" руб."</f>
        <v>30,0 шт. х 49129,97 руб. = 1 473 899,10 руб. = 1 473 900,00 руб.</v>
      </c>
    </row>
    <row r="122" spans="1:25" ht="21" customHeight="1" outlineLevel="1" x14ac:dyDescent="0.25">
      <c r="A122" s="390"/>
      <c r="B122" s="624"/>
      <c r="C122" s="64"/>
      <c r="D122" s="621"/>
      <c r="E122" s="621"/>
      <c r="F122" s="68" t="s">
        <v>193</v>
      </c>
      <c r="G122" s="66">
        <v>30</v>
      </c>
      <c r="H122" s="67" t="s">
        <v>78</v>
      </c>
      <c r="I122" s="69">
        <f>$I$121*1.0408</f>
        <v>51134.472775999995</v>
      </c>
      <c r="J122" s="67" t="s">
        <v>41</v>
      </c>
      <c r="K122" s="66">
        <f t="shared" si="32"/>
        <v>1534034.18</v>
      </c>
      <c r="L122" s="67" t="s">
        <v>41</v>
      </c>
      <c r="M122" s="70">
        <f t="shared" si="33"/>
        <v>1534100</v>
      </c>
      <c r="N122" s="71" t="s">
        <v>37</v>
      </c>
      <c r="O122" s="70">
        <f t="shared" si="34"/>
        <v>1534100</v>
      </c>
      <c r="P122" s="67"/>
      <c r="Q122" s="99"/>
      <c r="R122" s="71"/>
      <c r="S122" s="65"/>
      <c r="T122" s="477"/>
      <c r="U122" s="477"/>
      <c r="V122" s="477"/>
      <c r="W122" s="64"/>
      <c r="X122" s="54" t="str">
        <f>""&amp;TEXT(G122,"0,0")&amp;" шт. х "&amp;TEXT(ROUND((I122),2),"000,00")&amp;" руб. = "&amp;TEXT(ROUND(($G$125*(ROUND((K122/$G$125),2))),2),"0 000,00")&amp;" руб. = "&amp;TEXT(M122,"0 000,00")&amp;" руб."</f>
        <v>30,0 шт. х 51134,47 руб. = 1 534 034,18 руб. = 1 534 100,00 руб.</v>
      </c>
    </row>
    <row r="123" spans="1:25" ht="75" x14ac:dyDescent="0.25">
      <c r="A123" s="388" t="s">
        <v>173</v>
      </c>
      <c r="B123" s="611" t="s">
        <v>223</v>
      </c>
      <c r="C123" s="64"/>
      <c r="D123" s="619">
        <v>310</v>
      </c>
      <c r="E123" s="619">
        <v>244</v>
      </c>
      <c r="F123" s="622"/>
      <c r="G123" s="622"/>
      <c r="H123" s="622"/>
      <c r="I123" s="622"/>
      <c r="J123" s="622"/>
      <c r="K123" s="622"/>
      <c r="L123" s="622"/>
      <c r="M123" s="622"/>
      <c r="N123" s="622"/>
      <c r="O123" s="622"/>
      <c r="P123" s="622"/>
      <c r="Q123" s="622"/>
      <c r="R123" s="622"/>
      <c r="S123" s="65"/>
      <c r="T123" s="477">
        <f>M125</f>
        <v>94700</v>
      </c>
      <c r="U123" s="477">
        <f>M126</f>
        <v>98500</v>
      </c>
      <c r="V123" s="477">
        <f>M127</f>
        <v>102500</v>
      </c>
      <c r="W123" s="64"/>
      <c r="X123" s="54" t="s">
        <v>170</v>
      </c>
    </row>
    <row r="124" spans="1:25" ht="16.5" customHeight="1" outlineLevel="1" x14ac:dyDescent="0.25">
      <c r="A124" s="389"/>
      <c r="B124" s="623"/>
      <c r="C124" s="64"/>
      <c r="D124" s="621"/>
      <c r="E124" s="621"/>
      <c r="F124" s="68"/>
      <c r="G124" s="66"/>
      <c r="H124" s="67"/>
      <c r="I124" s="66"/>
      <c r="J124" s="67"/>
      <c r="K124" s="66"/>
      <c r="L124" s="67" t="s">
        <v>37</v>
      </c>
      <c r="M124" s="67"/>
      <c r="N124" s="67"/>
      <c r="O124" s="67"/>
      <c r="P124" s="67"/>
      <c r="Q124" s="67"/>
      <c r="R124" s="65"/>
      <c r="S124" s="65"/>
      <c r="T124" s="477"/>
      <c r="U124" s="477"/>
      <c r="V124" s="477"/>
      <c r="W124" s="64"/>
    </row>
    <row r="125" spans="1:25" ht="23.25" customHeight="1" x14ac:dyDescent="0.25">
      <c r="A125" s="389"/>
      <c r="B125" s="623"/>
      <c r="C125" s="64"/>
      <c r="D125" s="621"/>
      <c r="E125" s="621"/>
      <c r="F125" s="68" t="s">
        <v>150</v>
      </c>
      <c r="G125" s="66">
        <v>1</v>
      </c>
      <c r="H125" s="67" t="s">
        <v>78</v>
      </c>
      <c r="I125" s="69">
        <v>94610.26</v>
      </c>
      <c r="J125" s="67" t="s">
        <v>41</v>
      </c>
      <c r="K125" s="66">
        <f>ROUND((G125*I125),2)</f>
        <v>94610.26</v>
      </c>
      <c r="L125" s="67" t="s">
        <v>41</v>
      </c>
      <c r="M125" s="70">
        <f>ROUNDUP((K125),-2)</f>
        <v>94700</v>
      </c>
      <c r="N125" s="71" t="s">
        <v>37</v>
      </c>
      <c r="O125" s="70">
        <f>ROUNDDOWN((M125),-2)</f>
        <v>94700</v>
      </c>
      <c r="P125" s="67"/>
      <c r="Q125" s="67"/>
      <c r="R125" s="65"/>
      <c r="S125" s="65"/>
      <c r="T125" s="477"/>
      <c r="U125" s="477"/>
      <c r="V125" s="477"/>
      <c r="W125" s="64"/>
      <c r="X125" s="54" t="str">
        <f>""&amp;TEXT($G$125,"0,0")&amp;" шт. х "&amp;TEXT(ROUND((K125/$G$125),2),"000,00")&amp;" руб. = "&amp;TEXT(ROUND(($G$125*(ROUND((K125/$G$125),2))),2),"0 000,00")&amp;" руб. = "&amp;TEXT(M125,"0 000,00")&amp;" руб."</f>
        <v>1,0 шт. х 94610,26 руб. = 94 610,26 руб. = 94 700,00 руб.</v>
      </c>
    </row>
    <row r="126" spans="1:25" ht="18" customHeight="1" outlineLevel="1" x14ac:dyDescent="0.25">
      <c r="A126" s="389"/>
      <c r="B126" s="623"/>
      <c r="C126" s="64"/>
      <c r="D126" s="621"/>
      <c r="E126" s="621"/>
      <c r="F126" s="68" t="s">
        <v>151</v>
      </c>
      <c r="G126" s="66">
        <v>1</v>
      </c>
      <c r="H126" s="67" t="s">
        <v>78</v>
      </c>
      <c r="I126" s="69">
        <f>I125*1.0408</f>
        <v>98470.358607999995</v>
      </c>
      <c r="J126" s="67" t="s">
        <v>41</v>
      </c>
      <c r="K126" s="66">
        <f t="shared" ref="K126:K127" si="35">ROUND((G126*I126),2)</f>
        <v>98470.36</v>
      </c>
      <c r="L126" s="67" t="s">
        <v>41</v>
      </c>
      <c r="M126" s="70">
        <f t="shared" ref="M126:M127" si="36">ROUNDUP((K126),-2)</f>
        <v>98500</v>
      </c>
      <c r="N126" s="71" t="s">
        <v>37</v>
      </c>
      <c r="O126" s="70">
        <f t="shared" ref="O126:O127" si="37">ROUNDDOWN((M126),-2)</f>
        <v>98500</v>
      </c>
      <c r="P126" s="71"/>
      <c r="Q126" s="93"/>
      <c r="R126" s="67"/>
      <c r="S126" s="65"/>
      <c r="T126" s="477"/>
      <c r="U126" s="477"/>
      <c r="V126" s="477"/>
      <c r="W126" s="64"/>
      <c r="X126" s="54" t="str">
        <f t="shared" ref="X126:X127" si="38">""&amp;TEXT($G$125,"0,0")&amp;" шт. х "&amp;TEXT(ROUND((K126/$G$125),2),"000,00")&amp;" руб. = "&amp;TEXT(ROUND(($G$125*(ROUND((K126/$G$125),2))),2),"0 000,00")&amp;" руб. = "&amp;TEXT(M126,"0 000,00")&amp;" руб."</f>
        <v>1,0 шт. х 98470,36 руб. = 98 470,36 руб. = 98 500,00 руб.</v>
      </c>
    </row>
    <row r="127" spans="1:25" ht="19.5" customHeight="1" outlineLevel="1" x14ac:dyDescent="0.25">
      <c r="A127" s="390"/>
      <c r="B127" s="624"/>
      <c r="C127" s="64"/>
      <c r="D127" s="621"/>
      <c r="E127" s="621"/>
      <c r="F127" s="68" t="s">
        <v>193</v>
      </c>
      <c r="G127" s="66">
        <v>1</v>
      </c>
      <c r="H127" s="67" t="s">
        <v>78</v>
      </c>
      <c r="I127" s="69">
        <f>I126*1.0408</f>
        <v>102487.94923920638</v>
      </c>
      <c r="J127" s="67" t="s">
        <v>41</v>
      </c>
      <c r="K127" s="66">
        <f t="shared" si="35"/>
        <v>102487.95</v>
      </c>
      <c r="L127" s="67" t="s">
        <v>41</v>
      </c>
      <c r="M127" s="70">
        <f t="shared" si="36"/>
        <v>102500</v>
      </c>
      <c r="N127" s="71" t="s">
        <v>37</v>
      </c>
      <c r="O127" s="70">
        <f t="shared" si="37"/>
        <v>102500</v>
      </c>
      <c r="P127" s="67"/>
      <c r="Q127" s="99"/>
      <c r="R127" s="71"/>
      <c r="S127" s="65"/>
      <c r="T127" s="477"/>
      <c r="U127" s="477"/>
      <c r="V127" s="477"/>
      <c r="W127" s="64"/>
      <c r="X127" s="54" t="str">
        <f t="shared" si="38"/>
        <v>1,0 шт. х 102487,95 руб. = 102 487,95 руб. = 102 500,00 руб.</v>
      </c>
    </row>
    <row r="128" spans="1:25" ht="96" customHeight="1" x14ac:dyDescent="0.25">
      <c r="A128" s="51" t="s">
        <v>16</v>
      </c>
      <c r="B128" s="116" t="s">
        <v>97</v>
      </c>
      <c r="C128" s="52"/>
      <c r="D128" s="53" t="s">
        <v>35</v>
      </c>
      <c r="E128" s="53" t="s">
        <v>35</v>
      </c>
      <c r="F128" s="423"/>
      <c r="G128" s="424"/>
      <c r="H128" s="424"/>
      <c r="I128" s="424"/>
      <c r="J128" s="424"/>
      <c r="K128" s="424"/>
      <c r="L128" s="424"/>
      <c r="M128" s="424"/>
      <c r="N128" s="424"/>
      <c r="O128" s="424"/>
      <c r="P128" s="424"/>
      <c r="Q128" s="424"/>
      <c r="R128" s="424"/>
      <c r="S128" s="424"/>
      <c r="T128" s="113">
        <f>SUM(T129,T133,T142,T147,T137)</f>
        <v>3339000</v>
      </c>
      <c r="U128" s="113">
        <f t="shared" ref="U128:V128" si="39">SUM(U129,U133,U142,U147,U137)</f>
        <v>3479400</v>
      </c>
      <c r="V128" s="113">
        <f t="shared" si="39"/>
        <v>3629600</v>
      </c>
      <c r="W128" s="52"/>
      <c r="X128" s="54" t="str">
        <f>"Нормативные "&amp;TEXT(B128,"0")&amp;" включают в себя:
нормативные "&amp;TEXT(B129,"0")&amp;";
нормативные "&amp;TEXT(B133,"0")&amp;"; нормативные "&amp;TEXT(B142,"0")&amp;";
нормативные "&amp;TEXT(B147,"0")&amp;""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канцелярских принадлежностей;
нормативные затраты на приобретение хозяйственных товаров и принадлежностей; нормативные затраты на приобретение шин для автомобиля;
нормативные затраты на приобретение масок медицинских одноразовых</v>
      </c>
    </row>
    <row r="129" spans="1:24" ht="85.5" customHeight="1" x14ac:dyDescent="0.25">
      <c r="A129" s="383" t="s">
        <v>17</v>
      </c>
      <c r="B129" s="617" t="s">
        <v>98</v>
      </c>
      <c r="C129" s="64"/>
      <c r="D129" s="619">
        <v>346</v>
      </c>
      <c r="E129" s="619">
        <v>244</v>
      </c>
      <c r="F129" s="380" t="s">
        <v>55</v>
      </c>
      <c r="G129" s="380"/>
      <c r="H129" s="380"/>
      <c r="I129" s="380"/>
      <c r="J129" s="380"/>
      <c r="K129" s="380"/>
      <c r="L129" s="380"/>
      <c r="M129" s="380"/>
      <c r="N129" s="380"/>
      <c r="O129" s="380"/>
      <c r="P129" s="380"/>
      <c r="Q129" s="380"/>
      <c r="R129" s="380"/>
      <c r="S129" s="65"/>
      <c r="T129" s="477">
        <f>M130</f>
        <v>2472200</v>
      </c>
      <c r="U129" s="477">
        <f>M131</f>
        <v>2578500</v>
      </c>
      <c r="V129" s="477">
        <f>M132</f>
        <v>2686700</v>
      </c>
      <c r="W129" s="64"/>
      <c r="X129" s="54" t="s">
        <v>56</v>
      </c>
    </row>
    <row r="130" spans="1:24" ht="21.75" customHeight="1" x14ac:dyDescent="0.25">
      <c r="A130" s="383"/>
      <c r="B130" s="618"/>
      <c r="C130" s="64"/>
      <c r="D130" s="437"/>
      <c r="E130" s="437"/>
      <c r="F130" s="68" t="s">
        <v>150</v>
      </c>
      <c r="G130" s="66">
        <v>213</v>
      </c>
      <c r="H130" s="67" t="s">
        <v>48</v>
      </c>
      <c r="I130" s="66">
        <v>11607</v>
      </c>
      <c r="J130" s="67" t="s">
        <v>41</v>
      </c>
      <c r="K130" s="66">
        <f>ROUND((G130*I130),2)</f>
        <v>2472291</v>
      </c>
      <c r="L130" s="67" t="s">
        <v>41</v>
      </c>
      <c r="M130" s="70">
        <f>ROUNDDOWN((K130),-2)</f>
        <v>2472200</v>
      </c>
      <c r="N130" s="71" t="s">
        <v>37</v>
      </c>
      <c r="O130" s="70">
        <f>ROUNDDOWN((M130),-2)</f>
        <v>2472200</v>
      </c>
      <c r="P130" s="67"/>
      <c r="Q130" s="67"/>
      <c r="R130" s="65"/>
      <c r="S130" s="65"/>
      <c r="T130" s="477"/>
      <c r="U130" s="477"/>
      <c r="V130" s="477"/>
      <c r="W130" s="64"/>
      <c r="X130" s="54" t="str">
        <f>""&amp;TEXT(G130,"000,00")&amp;" шт.ед. х норматив "&amp;TEXT(I130,"0 000,00")&amp;" руб. = "&amp;TEXT(K130,"0 000,00")&amp;" руб. = "&amp;TEXT(M130,"0 000,00")&amp;" руб."</f>
        <v>213,00 шт.ед. х норматив 11 607,00 руб. = 2 472 291,00 руб. = 2 472 200,00 руб.</v>
      </c>
    </row>
    <row r="131" spans="1:24" ht="18.75" customHeight="1" x14ac:dyDescent="0.25">
      <c r="A131" s="383"/>
      <c r="B131" s="618"/>
      <c r="C131" s="64"/>
      <c r="D131" s="437"/>
      <c r="E131" s="437"/>
      <c r="F131" s="68" t="s">
        <v>151</v>
      </c>
      <c r="G131" s="66">
        <v>213</v>
      </c>
      <c r="H131" s="67" t="s">
        <v>48</v>
      </c>
      <c r="I131" s="66">
        <v>12106</v>
      </c>
      <c r="J131" s="67" t="s">
        <v>41</v>
      </c>
      <c r="K131" s="66">
        <f t="shared" ref="K131:K132" si="40">ROUND((G131*I131),2)</f>
        <v>2578578</v>
      </c>
      <c r="L131" s="67" t="s">
        <v>41</v>
      </c>
      <c r="M131" s="70">
        <f t="shared" ref="M131:M132" si="41">ROUNDDOWN((K131),-2)</f>
        <v>2578500</v>
      </c>
      <c r="N131" s="71" t="s">
        <v>37</v>
      </c>
      <c r="O131" s="70">
        <f t="shared" ref="O131:O132" si="42">ROUNDDOWN((M131),-2)</f>
        <v>2578500</v>
      </c>
      <c r="P131" s="67"/>
      <c r="Q131" s="67"/>
      <c r="R131" s="65"/>
      <c r="S131" s="65"/>
      <c r="T131" s="477"/>
      <c r="U131" s="477"/>
      <c r="V131" s="477"/>
      <c r="W131" s="64"/>
      <c r="X131" s="54" t="str">
        <f>""&amp;TEXT(G131,"000,00")&amp;" шт.ед. х норматив "&amp;TEXT(I131,"0 000,00")&amp;" руб. = "&amp;TEXT(K131,"0 000,00")&amp;" руб. = "&amp;TEXT(M131,"0 000,00")&amp;" руб."</f>
        <v>213,00 шт.ед. х норматив 12 106,00 руб. = 2 578 578,00 руб. = 2 578 500,00 руб.</v>
      </c>
    </row>
    <row r="132" spans="1:24" ht="18.75" customHeight="1" x14ac:dyDescent="0.25">
      <c r="A132" s="383"/>
      <c r="B132" s="618"/>
      <c r="C132" s="64"/>
      <c r="D132" s="437"/>
      <c r="E132" s="437"/>
      <c r="F132" s="68" t="s">
        <v>193</v>
      </c>
      <c r="G132" s="66">
        <v>213</v>
      </c>
      <c r="H132" s="67" t="s">
        <v>48</v>
      </c>
      <c r="I132" s="66">
        <v>12614</v>
      </c>
      <c r="J132" s="67" t="s">
        <v>41</v>
      </c>
      <c r="K132" s="66">
        <f t="shared" si="40"/>
        <v>2686782</v>
      </c>
      <c r="L132" s="67" t="s">
        <v>41</v>
      </c>
      <c r="M132" s="70">
        <f t="shared" si="41"/>
        <v>2686700</v>
      </c>
      <c r="N132" s="71" t="s">
        <v>37</v>
      </c>
      <c r="O132" s="70">
        <f t="shared" si="42"/>
        <v>2686700</v>
      </c>
      <c r="P132" s="67"/>
      <c r="Q132" s="67"/>
      <c r="R132" s="65"/>
      <c r="S132" s="65"/>
      <c r="T132" s="477"/>
      <c r="U132" s="477"/>
      <c r="V132" s="477"/>
      <c r="W132" s="64"/>
      <c r="X132" s="54" t="str">
        <f>""&amp;TEXT(G132,"000,00")&amp;" шт.ед. х норматив "&amp;TEXT(I132,"0 000,00")&amp;" руб. = "&amp;TEXT(K132,"0 000,00")&amp;" руб. = "&amp;TEXT(M132,"0 000,00")&amp;" руб."</f>
        <v>213,00 шт.ед. х норматив 12 614,00 руб. = 2 686 782,00 руб. = 2 686 700,00 руб.</v>
      </c>
    </row>
    <row r="133" spans="1:24" ht="117.75" customHeight="1" x14ac:dyDescent="0.25">
      <c r="A133" s="383" t="s">
        <v>18</v>
      </c>
      <c r="B133" s="617" t="s">
        <v>99</v>
      </c>
      <c r="C133" s="64"/>
      <c r="D133" s="619">
        <v>346</v>
      </c>
      <c r="E133" s="619">
        <v>244</v>
      </c>
      <c r="F133" s="622" t="s">
        <v>57</v>
      </c>
      <c r="G133" s="622"/>
      <c r="H133" s="622"/>
      <c r="I133" s="622"/>
      <c r="J133" s="622"/>
      <c r="K133" s="622"/>
      <c r="L133" s="622"/>
      <c r="M133" s="622"/>
      <c r="N133" s="622"/>
      <c r="O133" s="622"/>
      <c r="P133" s="622"/>
      <c r="Q133" s="622"/>
      <c r="R133" s="622"/>
      <c r="S133" s="65"/>
      <c r="T133" s="477">
        <f>O134</f>
        <v>200100</v>
      </c>
      <c r="U133" s="477">
        <f>O135</f>
        <v>207000</v>
      </c>
      <c r="V133" s="477">
        <f>O136</f>
        <v>220800</v>
      </c>
      <c r="W133" s="64"/>
      <c r="X133" s="54" t="s">
        <v>58</v>
      </c>
    </row>
    <row r="134" spans="1:24" ht="19.5" customHeight="1" x14ac:dyDescent="0.25">
      <c r="A134" s="383"/>
      <c r="B134" s="618"/>
      <c r="C134" s="64"/>
      <c r="D134" s="621"/>
      <c r="E134" s="621"/>
      <c r="F134" s="68" t="s">
        <v>150</v>
      </c>
      <c r="G134" s="66">
        <v>1150.5</v>
      </c>
      <c r="H134" s="67" t="s">
        <v>59</v>
      </c>
      <c r="I134" s="66">
        <v>14.5</v>
      </c>
      <c r="J134" s="67" t="s">
        <v>49</v>
      </c>
      <c r="K134" s="66">
        <v>12</v>
      </c>
      <c r="L134" s="67" t="s">
        <v>50</v>
      </c>
      <c r="M134" s="66">
        <f>ROUND((G134*I134*K134),2)</f>
        <v>200187</v>
      </c>
      <c r="N134" s="67" t="s">
        <v>41</v>
      </c>
      <c r="O134" s="70">
        <f>ROUNDDOWN((M134),-2)</f>
        <v>200100</v>
      </c>
      <c r="P134" s="71" t="s">
        <v>37</v>
      </c>
      <c r="Q134" s="67"/>
      <c r="R134" s="65"/>
      <c r="S134" s="65"/>
      <c r="T134" s="477"/>
      <c r="U134" s="477"/>
      <c r="V134" s="477"/>
      <c r="W134" s="64"/>
      <c r="X134" s="54" t="str">
        <f>""&amp;TEXT(G134,"0 000,00")&amp;" кв.м. х норматив "&amp;TEXT(I134,"0,00")&amp;" руб. х "&amp;TEXT(K134,"00,0")&amp;" мес.  = "&amp;TEXT(M134,"0 000,00")&amp;" руб. = "&amp;TEXT(O134,"0 000,00")&amp;" руб."</f>
        <v>1 150,50 кв.м. х норматив 14,50 руб. х 12,0 мес.  = 200 187,00 руб. = 200 100,00 руб.</v>
      </c>
    </row>
    <row r="135" spans="1:24" ht="19.5" customHeight="1" x14ac:dyDescent="0.25">
      <c r="A135" s="383"/>
      <c r="B135" s="618"/>
      <c r="C135" s="64"/>
      <c r="D135" s="621"/>
      <c r="E135" s="621"/>
      <c r="F135" s="68" t="s">
        <v>151</v>
      </c>
      <c r="G135" s="66">
        <f>G134</f>
        <v>1150.5</v>
      </c>
      <c r="H135" s="67" t="s">
        <v>59</v>
      </c>
      <c r="I135" s="66">
        <v>15</v>
      </c>
      <c r="J135" s="67" t="s">
        <v>49</v>
      </c>
      <c r="K135" s="66">
        <v>12</v>
      </c>
      <c r="L135" s="67" t="s">
        <v>50</v>
      </c>
      <c r="M135" s="66">
        <f t="shared" ref="M135:M136" si="43">ROUND((G135*I135*K135),2)</f>
        <v>207090</v>
      </c>
      <c r="N135" s="67" t="s">
        <v>41</v>
      </c>
      <c r="O135" s="70">
        <f t="shared" ref="O135:O136" si="44">ROUNDDOWN((M135),-2)</f>
        <v>207000</v>
      </c>
      <c r="P135" s="71" t="s">
        <v>37</v>
      </c>
      <c r="Q135" s="67"/>
      <c r="R135" s="65"/>
      <c r="S135" s="65"/>
      <c r="T135" s="477"/>
      <c r="U135" s="477"/>
      <c r="V135" s="477"/>
      <c r="W135" s="64"/>
      <c r="X135" s="54" t="str">
        <f>""&amp;TEXT(G135,"0 000,00")&amp;" кв.м. х норматив "&amp;TEXT(I135,"0,00")&amp;" руб. х "&amp;TEXT(K135,"00,0")&amp;" мес.  = "&amp;TEXT(M135,"0 000,00")&amp;" руб. = "&amp;TEXT(O135,"0 000,00")&amp;" руб."</f>
        <v>1 150,50 кв.м. х норматив 15,00 руб. х 12,0 мес.  = 207 090,00 руб. = 207 000,00 руб.</v>
      </c>
    </row>
    <row r="136" spans="1:24" ht="19.5" customHeight="1" x14ac:dyDescent="0.25">
      <c r="A136" s="383"/>
      <c r="B136" s="618"/>
      <c r="C136" s="64"/>
      <c r="D136" s="621"/>
      <c r="E136" s="621"/>
      <c r="F136" s="68" t="s">
        <v>193</v>
      </c>
      <c r="G136" s="66">
        <f>G135</f>
        <v>1150.5</v>
      </c>
      <c r="H136" s="67" t="s">
        <v>59</v>
      </c>
      <c r="I136" s="66">
        <v>16</v>
      </c>
      <c r="J136" s="67" t="s">
        <v>49</v>
      </c>
      <c r="K136" s="66">
        <v>12</v>
      </c>
      <c r="L136" s="67" t="s">
        <v>50</v>
      </c>
      <c r="M136" s="66">
        <f t="shared" si="43"/>
        <v>220896</v>
      </c>
      <c r="N136" s="67" t="s">
        <v>41</v>
      </c>
      <c r="O136" s="70">
        <f t="shared" si="44"/>
        <v>220800</v>
      </c>
      <c r="P136" s="71" t="s">
        <v>37</v>
      </c>
      <c r="Q136" s="67"/>
      <c r="R136" s="65"/>
      <c r="S136" s="65"/>
      <c r="T136" s="477"/>
      <c r="U136" s="477"/>
      <c r="V136" s="477"/>
      <c r="W136" s="64"/>
      <c r="X136" s="54" t="str">
        <f>""&amp;TEXT(G136,"0 000,00")&amp;" кв.м. х норматив "&amp;TEXT(I136,"0,00")&amp;" руб. х "&amp;TEXT(K136,"00,0")&amp;" мес.  = "&amp;TEXT(M136,"0 000,00")&amp;" руб. = "&amp;TEXT(O136,"0 000,00")&amp;" руб."</f>
        <v>1 150,50 кв.м. х норматив 16,00 руб. х 12,0 мес.  = 220 896,00 руб. = 220 800,00 руб.</v>
      </c>
    </row>
    <row r="137" spans="1:24" ht="90" x14ac:dyDescent="0.25">
      <c r="A137" s="383" t="s">
        <v>26</v>
      </c>
      <c r="B137" s="617" t="s">
        <v>100</v>
      </c>
      <c r="C137" s="64"/>
      <c r="D137" s="619">
        <v>343</v>
      </c>
      <c r="E137" s="619">
        <v>244</v>
      </c>
      <c r="F137" s="380" t="s">
        <v>182</v>
      </c>
      <c r="G137" s="380"/>
      <c r="H137" s="380"/>
      <c r="I137" s="380"/>
      <c r="J137" s="380"/>
      <c r="K137" s="380"/>
      <c r="L137" s="380"/>
      <c r="M137" s="380"/>
      <c r="N137" s="380"/>
      <c r="O137" s="380"/>
      <c r="P137" s="380"/>
      <c r="Q137" s="380"/>
      <c r="R137" s="380"/>
      <c r="S137" s="65"/>
      <c r="T137" s="477">
        <v>62800</v>
      </c>
      <c r="U137" s="477">
        <v>65400</v>
      </c>
      <c r="V137" s="477">
        <v>68000</v>
      </c>
      <c r="W137" s="64"/>
      <c r="X137" s="54" t="s">
        <v>76</v>
      </c>
    </row>
    <row r="138" spans="1:24" ht="15" customHeight="1" outlineLevel="1" x14ac:dyDescent="0.25">
      <c r="A138" s="383"/>
      <c r="B138" s="618"/>
      <c r="C138" s="64"/>
      <c r="D138" s="437"/>
      <c r="E138" s="620"/>
      <c r="F138" s="61"/>
      <c r="G138" s="66">
        <v>1000</v>
      </c>
      <c r="H138" s="67" t="s">
        <v>75</v>
      </c>
      <c r="I138" s="66"/>
      <c r="J138" s="67" t="s">
        <v>41</v>
      </c>
      <c r="K138" s="66">
        <f>ROUND((G138*I138),2)</f>
        <v>0</v>
      </c>
      <c r="L138" s="67" t="s">
        <v>37</v>
      </c>
      <c r="M138" s="67"/>
      <c r="N138" s="67"/>
      <c r="O138" s="67"/>
      <c r="P138" s="67"/>
      <c r="Q138" s="67"/>
      <c r="R138" s="65"/>
      <c r="S138" s="65"/>
      <c r="T138" s="477"/>
      <c r="U138" s="477"/>
      <c r="V138" s="477"/>
      <c r="W138" s="64"/>
      <c r="X138" s="54"/>
    </row>
    <row r="139" spans="1:24" ht="18.75" customHeight="1" x14ac:dyDescent="0.25">
      <c r="A139" s="383"/>
      <c r="B139" s="618"/>
      <c r="C139" s="64"/>
      <c r="D139" s="437"/>
      <c r="E139" s="620"/>
      <c r="F139" s="68" t="s">
        <v>150</v>
      </c>
      <c r="G139" s="66">
        <v>1000</v>
      </c>
      <c r="H139" s="65" t="s">
        <v>195</v>
      </c>
      <c r="I139" s="69">
        <v>62.76</v>
      </c>
      <c r="J139" s="67" t="s">
        <v>41</v>
      </c>
      <c r="K139" s="66">
        <f>ROUND((G139*I139),2)</f>
        <v>62760</v>
      </c>
      <c r="L139" s="67" t="s">
        <v>41</v>
      </c>
      <c r="M139" s="70">
        <f>ROUNDUP((K139),-2)</f>
        <v>62800</v>
      </c>
      <c r="N139" s="71" t="s">
        <v>37</v>
      </c>
      <c r="O139" s="70">
        <f>ROUNDUP((M139),-2)</f>
        <v>62800</v>
      </c>
      <c r="P139" s="72"/>
      <c r="Q139" s="72"/>
      <c r="R139" s="72"/>
      <c r="S139" s="65"/>
      <c r="T139" s="477"/>
      <c r="U139" s="477"/>
      <c r="V139" s="477"/>
      <c r="W139" s="64"/>
      <c r="X139" s="54" t="str">
        <f>""&amp;TEXT(G139,"0,0")&amp;" л. х "&amp;TEXT(ROUND((K139/$G$148),2),"0,00")&amp;" руб. = "&amp;TEXT(ROUND(($G$148*(ROUND((K139/$G$148),2))),2),"0 000,00")&amp;" руб. = "&amp;TEXT(M139,"0 000,00")&amp;" руб."</f>
        <v>1000,0 л. х 62,76 руб. = 62 760,00 руб. = 62 800,00 руб.</v>
      </c>
    </row>
    <row r="140" spans="1:24" ht="18.75" customHeight="1" x14ac:dyDescent="0.25">
      <c r="A140" s="383"/>
      <c r="B140" s="618"/>
      <c r="C140" s="64"/>
      <c r="D140" s="437"/>
      <c r="E140" s="620"/>
      <c r="F140" s="68" t="s">
        <v>151</v>
      </c>
      <c r="G140" s="66">
        <f>G139</f>
        <v>1000</v>
      </c>
      <c r="H140" s="67" t="str">
        <f>H139</f>
        <v xml:space="preserve">руб. х индекс потребительских цен </v>
      </c>
      <c r="I140" s="69">
        <v>65.319999999999993</v>
      </c>
      <c r="J140" s="67" t="s">
        <v>41</v>
      </c>
      <c r="K140" s="66">
        <f t="shared" ref="K140:K141" si="45">ROUND((G140*I140),2)</f>
        <v>65320</v>
      </c>
      <c r="L140" s="67" t="s">
        <v>41</v>
      </c>
      <c r="M140" s="70">
        <f t="shared" ref="M140:M141" si="46">ROUNDUP((K140),-2)</f>
        <v>65400</v>
      </c>
      <c r="N140" s="67" t="s">
        <v>41</v>
      </c>
      <c r="O140" s="70">
        <f>ROUNDUP((M140),-2)</f>
        <v>65400</v>
      </c>
      <c r="P140" s="71" t="s">
        <v>37</v>
      </c>
      <c r="Q140" s="72"/>
      <c r="R140" s="72"/>
      <c r="S140" s="65"/>
      <c r="T140" s="477"/>
      <c r="U140" s="477"/>
      <c r="V140" s="477"/>
      <c r="W140" s="64"/>
      <c r="X140" s="54" t="str">
        <f>""&amp;TEXT(G140,"0,0")&amp;" л. х "&amp;TEXT(ROUND((K140/$G$148),2),"0,00")&amp;" руб. = "&amp;TEXT(ROUND(($G$148*(ROUND((K140/$G$148),2))),2),"0 000,00")&amp;" руб. = "&amp;TEXT(M140,"0 000,00")&amp;" руб."</f>
        <v>1000,0 л. х 65,32 руб. = 65 320,00 руб. = 65 400,00 руб.</v>
      </c>
    </row>
    <row r="141" spans="1:24" ht="18.75" customHeight="1" x14ac:dyDescent="0.25">
      <c r="A141" s="383"/>
      <c r="B141" s="618"/>
      <c r="C141" s="64"/>
      <c r="D141" s="437"/>
      <c r="E141" s="620"/>
      <c r="F141" s="68" t="s">
        <v>193</v>
      </c>
      <c r="G141" s="66">
        <f>G140</f>
        <v>1000</v>
      </c>
      <c r="H141" s="67" t="str">
        <f>H139</f>
        <v xml:space="preserve">руб. х индекс потребительских цен </v>
      </c>
      <c r="I141" s="69">
        <f>I140*1.0408</f>
        <v>67.985055999999986</v>
      </c>
      <c r="J141" s="67" t="s">
        <v>41</v>
      </c>
      <c r="K141" s="66">
        <f t="shared" si="45"/>
        <v>67985.06</v>
      </c>
      <c r="L141" s="67" t="s">
        <v>41</v>
      </c>
      <c r="M141" s="70">
        <f t="shared" si="46"/>
        <v>68000</v>
      </c>
      <c r="N141" s="67" t="s">
        <v>25</v>
      </c>
      <c r="O141" s="70">
        <f>ROUNDUP((M141),-2)</f>
        <v>68000</v>
      </c>
      <c r="P141" s="67" t="s">
        <v>41</v>
      </c>
      <c r="Q141" s="70">
        <f>ROUNDUP((O141),-2)</f>
        <v>68000</v>
      </c>
      <c r="R141" s="71" t="s">
        <v>37</v>
      </c>
      <c r="S141" s="65"/>
      <c r="T141" s="478"/>
      <c r="U141" s="478"/>
      <c r="V141" s="478"/>
      <c r="W141" s="64"/>
      <c r="X141" s="54" t="str">
        <f>""&amp;TEXT(G141,"0,0")&amp;" л. х "&amp;TEXT(ROUND((K141/$G$148),2),"0,00")&amp;" руб. = "&amp;TEXT(ROUND(($G$148*(ROUND((K141/$G$148),2))),2),"0 000,00")&amp;" руб. = "&amp;TEXT(M141,"0 000,00")&amp;" руб."</f>
        <v>1000,0 л. х 67,99 руб. = 67 990,00 руб. = 68 000,00 руб.</v>
      </c>
    </row>
    <row r="142" spans="1:24" ht="90" x14ac:dyDescent="0.25">
      <c r="A142" s="383" t="s">
        <v>200</v>
      </c>
      <c r="B142" s="617" t="s">
        <v>219</v>
      </c>
      <c r="C142" s="64"/>
      <c r="D142" s="619">
        <v>346</v>
      </c>
      <c r="E142" s="619">
        <v>244</v>
      </c>
      <c r="F142" s="380" t="s">
        <v>182</v>
      </c>
      <c r="G142" s="380"/>
      <c r="H142" s="380"/>
      <c r="I142" s="380"/>
      <c r="J142" s="380"/>
      <c r="K142" s="380"/>
      <c r="L142" s="380"/>
      <c r="M142" s="380"/>
      <c r="N142" s="380"/>
      <c r="O142" s="380"/>
      <c r="P142" s="380"/>
      <c r="Q142" s="380"/>
      <c r="R142" s="380"/>
      <c r="S142" s="65"/>
      <c r="T142" s="477">
        <f>M144</f>
        <v>19800</v>
      </c>
      <c r="U142" s="477">
        <f>M145</f>
        <v>20600</v>
      </c>
      <c r="V142" s="477">
        <f>M146</f>
        <v>21400</v>
      </c>
      <c r="W142" s="64"/>
      <c r="X142" s="54" t="s">
        <v>220</v>
      </c>
    </row>
    <row r="143" spans="1:24" ht="15" customHeight="1" outlineLevel="1" x14ac:dyDescent="0.25">
      <c r="A143" s="383"/>
      <c r="B143" s="618"/>
      <c r="C143" s="64"/>
      <c r="D143" s="437"/>
      <c r="E143" s="620"/>
      <c r="F143" s="61"/>
      <c r="G143" s="66"/>
      <c r="H143" s="67" t="s">
        <v>48</v>
      </c>
      <c r="I143" s="66"/>
      <c r="J143" s="67" t="s">
        <v>41</v>
      </c>
      <c r="K143" s="66">
        <f>ROUND((G143*I143),2)</f>
        <v>0</v>
      </c>
      <c r="L143" s="67" t="s">
        <v>37</v>
      </c>
      <c r="M143" s="67"/>
      <c r="N143" s="67"/>
      <c r="O143" s="67"/>
      <c r="P143" s="67"/>
      <c r="Q143" s="67"/>
      <c r="R143" s="65"/>
      <c r="S143" s="65"/>
      <c r="T143" s="477"/>
      <c r="U143" s="477"/>
      <c r="V143" s="477"/>
      <c r="W143" s="64"/>
      <c r="X143" s="54"/>
    </row>
    <row r="144" spans="1:24" ht="17.25" customHeight="1" x14ac:dyDescent="0.25">
      <c r="A144" s="383"/>
      <c r="B144" s="618"/>
      <c r="C144" s="64"/>
      <c r="D144" s="437"/>
      <c r="E144" s="620"/>
      <c r="F144" s="68" t="s">
        <v>150</v>
      </c>
      <c r="G144" s="66">
        <v>4</v>
      </c>
      <c r="H144" s="65" t="s">
        <v>195</v>
      </c>
      <c r="I144" s="69">
        <v>19720</v>
      </c>
      <c r="J144" s="67" t="s">
        <v>41</v>
      </c>
      <c r="K144" s="66">
        <f>I144/G144</f>
        <v>4930</v>
      </c>
      <c r="L144" s="67" t="s">
        <v>41</v>
      </c>
      <c r="M144" s="70">
        <f>ROUNDUP((I144),-2)</f>
        <v>19800</v>
      </c>
      <c r="N144" s="71" t="s">
        <v>37</v>
      </c>
      <c r="O144" s="70"/>
      <c r="P144" s="72"/>
      <c r="Q144" s="72"/>
      <c r="R144" s="72"/>
      <c r="S144" s="65"/>
      <c r="T144" s="477"/>
      <c r="U144" s="477"/>
      <c r="V144" s="477"/>
      <c r="W144" s="64"/>
      <c r="X144" s="54" t="str">
        <f>""&amp;TEXT(G144,"0,0")&amp;" шт. х "&amp;TEXT(ROUND((K144),2),"0,00")&amp;" руб. = "&amp;TEXT(ROUND((I144),2),"0 000,00")&amp;" руб. = "&amp;TEXT(M144,"0 000,00")&amp;" руб."</f>
        <v>4,0 шт. х 4930,00 руб. = 19 720,00 руб. = 19 800,00 руб.</v>
      </c>
    </row>
    <row r="145" spans="1:24" ht="17.25" customHeight="1" x14ac:dyDescent="0.25">
      <c r="A145" s="383"/>
      <c r="B145" s="618"/>
      <c r="C145" s="64"/>
      <c r="D145" s="437"/>
      <c r="E145" s="620"/>
      <c r="F145" s="68" t="s">
        <v>151</v>
      </c>
      <c r="G145" s="66">
        <v>4</v>
      </c>
      <c r="H145" s="67" t="str">
        <f>H144</f>
        <v xml:space="preserve">руб. х индекс потребительских цен </v>
      </c>
      <c r="I145" s="69">
        <f>I144*1.0408</f>
        <v>20524.575999999997</v>
      </c>
      <c r="J145" s="67" t="s">
        <v>41</v>
      </c>
      <c r="K145" s="66">
        <f t="shared" ref="K145:K146" si="47">I145/G145</f>
        <v>5131.1439999999993</v>
      </c>
      <c r="L145" s="67" t="s">
        <v>41</v>
      </c>
      <c r="M145" s="70">
        <f t="shared" ref="M145:M146" si="48">ROUNDUP((I145),-2)</f>
        <v>20600</v>
      </c>
      <c r="N145" s="67" t="s">
        <v>41</v>
      </c>
      <c r="O145" s="70"/>
      <c r="P145" s="71" t="s">
        <v>37</v>
      </c>
      <c r="Q145" s="72"/>
      <c r="R145" s="72"/>
      <c r="S145" s="65"/>
      <c r="T145" s="477"/>
      <c r="U145" s="477"/>
      <c r="V145" s="477"/>
      <c r="W145" s="64"/>
      <c r="X145" s="54" t="str">
        <f t="shared" ref="X145:X146" si="49">""&amp;TEXT(G145,"0,0")&amp;" шт. х "&amp;TEXT(ROUND((K145),2),"0,00")&amp;" руб. = "&amp;TEXT(ROUND((I145),2),"0 000,00")&amp;" руб. = "&amp;TEXT(M145,"0 000,00")&amp;" руб."</f>
        <v>4,0 шт. х 5131,14 руб. = 20 524,58 руб. = 20 600,00 руб.</v>
      </c>
    </row>
    <row r="146" spans="1:24" ht="23.25" customHeight="1" x14ac:dyDescent="0.25">
      <c r="A146" s="383"/>
      <c r="B146" s="618"/>
      <c r="C146" s="64"/>
      <c r="D146" s="437"/>
      <c r="E146" s="620"/>
      <c r="F146" s="68" t="s">
        <v>193</v>
      </c>
      <c r="G146" s="66">
        <v>4</v>
      </c>
      <c r="H146" s="67" t="str">
        <f>H144</f>
        <v xml:space="preserve">руб. х индекс потребительских цен </v>
      </c>
      <c r="I146" s="69">
        <f>I145*1.0408</f>
        <v>21361.978700799995</v>
      </c>
      <c r="J146" s="67" t="s">
        <v>41</v>
      </c>
      <c r="K146" s="66">
        <f t="shared" si="47"/>
        <v>5340.4946751999987</v>
      </c>
      <c r="L146" s="67" t="s">
        <v>41</v>
      </c>
      <c r="M146" s="70">
        <f t="shared" si="48"/>
        <v>21400</v>
      </c>
      <c r="N146" s="67" t="s">
        <v>25</v>
      </c>
      <c r="O146" s="70"/>
      <c r="P146" s="67" t="s">
        <v>41</v>
      </c>
      <c r="Q146" s="70">
        <f>ROUNDUP((O146),-2)</f>
        <v>0</v>
      </c>
      <c r="R146" s="71" t="s">
        <v>37</v>
      </c>
      <c r="S146" s="65"/>
      <c r="T146" s="478"/>
      <c r="U146" s="478"/>
      <c r="V146" s="478"/>
      <c r="W146" s="64"/>
      <c r="X146" s="54" t="str">
        <f t="shared" si="49"/>
        <v>4,0 шт. х 5340,49 руб. = 21 361,98 руб. = 21 400,00 руб.</v>
      </c>
    </row>
    <row r="147" spans="1:24" ht="90" x14ac:dyDescent="0.25">
      <c r="A147" s="383" t="s">
        <v>213</v>
      </c>
      <c r="B147" s="617" t="s">
        <v>214</v>
      </c>
      <c r="C147" s="64"/>
      <c r="D147" s="619">
        <v>346</v>
      </c>
      <c r="E147" s="619">
        <v>244</v>
      </c>
      <c r="F147" s="380" t="s">
        <v>182</v>
      </c>
      <c r="G147" s="380"/>
      <c r="H147" s="380"/>
      <c r="I147" s="380"/>
      <c r="J147" s="380"/>
      <c r="K147" s="380"/>
      <c r="L147" s="380"/>
      <c r="M147" s="380"/>
      <c r="N147" s="380"/>
      <c r="O147" s="380"/>
      <c r="P147" s="380"/>
      <c r="Q147" s="380"/>
      <c r="R147" s="380"/>
      <c r="S147" s="65"/>
      <c r="T147" s="477">
        <f>M149</f>
        <v>584100</v>
      </c>
      <c r="U147" s="477">
        <f>M150</f>
        <v>607900</v>
      </c>
      <c r="V147" s="477">
        <f>M151</f>
        <v>632700</v>
      </c>
      <c r="W147" s="64"/>
      <c r="X147" s="54" t="s">
        <v>215</v>
      </c>
    </row>
    <row r="148" spans="1:24" ht="15" customHeight="1" outlineLevel="1" x14ac:dyDescent="0.25">
      <c r="A148" s="383"/>
      <c r="B148" s="618"/>
      <c r="C148" s="64"/>
      <c r="D148" s="437"/>
      <c r="E148" s="620"/>
      <c r="F148" s="61"/>
      <c r="G148" s="66">
        <v>1000</v>
      </c>
      <c r="H148" s="67" t="s">
        <v>48</v>
      </c>
      <c r="I148" s="66"/>
      <c r="J148" s="67" t="s">
        <v>41</v>
      </c>
      <c r="K148" s="66">
        <f>ROUND((G148*I148),2)</f>
        <v>0</v>
      </c>
      <c r="L148" s="67" t="s">
        <v>37</v>
      </c>
      <c r="M148" s="67"/>
      <c r="N148" s="67"/>
      <c r="O148" s="67"/>
      <c r="P148" s="67"/>
      <c r="Q148" s="67"/>
      <c r="R148" s="65"/>
      <c r="S148" s="65"/>
      <c r="T148" s="477"/>
      <c r="U148" s="477"/>
      <c r="V148" s="477"/>
      <c r="W148" s="64"/>
      <c r="X148" s="54"/>
    </row>
    <row r="149" spans="1:24" ht="24.75" customHeight="1" x14ac:dyDescent="0.25">
      <c r="A149" s="383"/>
      <c r="B149" s="618"/>
      <c r="C149" s="64"/>
      <c r="D149" s="437"/>
      <c r="E149" s="620"/>
      <c r="F149" s="68" t="s">
        <v>150</v>
      </c>
      <c r="G149" s="66">
        <v>13500</v>
      </c>
      <c r="H149" s="65" t="s">
        <v>195</v>
      </c>
      <c r="I149" s="69">
        <v>43.26</v>
      </c>
      <c r="J149" s="67" t="s">
        <v>41</v>
      </c>
      <c r="K149" s="66">
        <f>ROUND((G149*I149),2)</f>
        <v>584010</v>
      </c>
      <c r="L149" s="67" t="s">
        <v>41</v>
      </c>
      <c r="M149" s="70">
        <f>ROUNDUP((K149),-2)</f>
        <v>584100</v>
      </c>
      <c r="N149" s="71" t="s">
        <v>37</v>
      </c>
      <c r="O149" s="70">
        <f>ROUNDUP((M149),-2)</f>
        <v>584100</v>
      </c>
      <c r="P149" s="72"/>
      <c r="Q149" s="72"/>
      <c r="R149" s="72"/>
      <c r="S149" s="65"/>
      <c r="T149" s="477"/>
      <c r="U149" s="477"/>
      <c r="V149" s="477"/>
      <c r="W149" s="64"/>
      <c r="X149" s="54" t="str">
        <f>""&amp;TEXT(G149,"0,0")&amp;" шт. х "&amp;TEXT(ROUND((I149),2),"0,00")&amp;" руб. = "&amp;TEXT(ROUND((K149),2),"0 000,00")&amp;" руб. = "&amp;TEXT(M149,"0 000,00")&amp;" руб."</f>
        <v>13500,0 шт. х 43,26 руб. = 584 010,00 руб. = 584 100,00 руб.</v>
      </c>
    </row>
    <row r="150" spans="1:24" ht="24.75" customHeight="1" x14ac:dyDescent="0.25">
      <c r="A150" s="383"/>
      <c r="B150" s="618"/>
      <c r="C150" s="64"/>
      <c r="D150" s="437"/>
      <c r="E150" s="620"/>
      <c r="F150" s="68" t="s">
        <v>151</v>
      </c>
      <c r="G150" s="66">
        <f>G149</f>
        <v>13500</v>
      </c>
      <c r="H150" s="67" t="str">
        <f>H149</f>
        <v xml:space="preserve">руб. х индекс потребительских цен </v>
      </c>
      <c r="I150" s="69">
        <f>I149*1.0408</f>
        <v>45.025007999999993</v>
      </c>
      <c r="J150" s="67" t="s">
        <v>41</v>
      </c>
      <c r="K150" s="66">
        <f t="shared" ref="K150:K151" si="50">ROUND((G150*I150),2)</f>
        <v>607837.61</v>
      </c>
      <c r="L150" s="67" t="s">
        <v>41</v>
      </c>
      <c r="M150" s="70">
        <f t="shared" ref="M150:M151" si="51">ROUNDUP((K150),-2)</f>
        <v>607900</v>
      </c>
      <c r="N150" s="67" t="s">
        <v>41</v>
      </c>
      <c r="O150" s="70">
        <f>ROUNDUP((M150),-2)</f>
        <v>607900</v>
      </c>
      <c r="P150" s="71" t="s">
        <v>37</v>
      </c>
      <c r="Q150" s="72"/>
      <c r="R150" s="72"/>
      <c r="S150" s="65"/>
      <c r="T150" s="477"/>
      <c r="U150" s="477"/>
      <c r="V150" s="477"/>
      <c r="W150" s="64"/>
      <c r="X150" s="54" t="str">
        <f t="shared" ref="X150:X151" si="52">""&amp;TEXT(G150,"0,0")&amp;" шт. х "&amp;TEXT(ROUND((I150),2),"0,00")&amp;" руб. = "&amp;TEXT(ROUND((K150),2),"0 000,00")&amp;" руб. = "&amp;TEXT(M150,"0 000,00")&amp;" руб."</f>
        <v>13500,0 шт. х 45,03 руб. = 607 837,61 руб. = 607 900,00 руб.</v>
      </c>
    </row>
    <row r="151" spans="1:24" ht="24.75" customHeight="1" x14ac:dyDescent="0.25">
      <c r="A151" s="383"/>
      <c r="B151" s="618"/>
      <c r="C151" s="64"/>
      <c r="D151" s="437"/>
      <c r="E151" s="620"/>
      <c r="F151" s="68" t="s">
        <v>193</v>
      </c>
      <c r="G151" s="66">
        <f>G150</f>
        <v>13500</v>
      </c>
      <c r="H151" s="67" t="str">
        <f>H149</f>
        <v xml:space="preserve">руб. х индекс потребительских цен </v>
      </c>
      <c r="I151" s="69">
        <f>I150*1.0408</f>
        <v>46.862028326399987</v>
      </c>
      <c r="J151" s="67" t="s">
        <v>41</v>
      </c>
      <c r="K151" s="66">
        <f t="shared" si="50"/>
        <v>632637.38</v>
      </c>
      <c r="L151" s="67" t="s">
        <v>41</v>
      </c>
      <c r="M151" s="70">
        <f t="shared" si="51"/>
        <v>632700</v>
      </c>
      <c r="N151" s="67" t="s">
        <v>25</v>
      </c>
      <c r="O151" s="70">
        <f>ROUNDUP((M151),-2)</f>
        <v>632700</v>
      </c>
      <c r="P151" s="67" t="s">
        <v>41</v>
      </c>
      <c r="Q151" s="70">
        <f>ROUNDUP((O151),-2)</f>
        <v>632700</v>
      </c>
      <c r="R151" s="71" t="s">
        <v>37</v>
      </c>
      <c r="S151" s="65"/>
      <c r="T151" s="478"/>
      <c r="U151" s="478"/>
      <c r="V151" s="478"/>
      <c r="W151" s="64"/>
      <c r="X151" s="54" t="str">
        <f t="shared" si="52"/>
        <v>13500,0 шт. х 46,86 руб. = 632 637,38 руб. = 632 700,00 руб.</v>
      </c>
    </row>
    <row r="152" spans="1:24" ht="60" x14ac:dyDescent="0.25">
      <c r="A152" s="51" t="s">
        <v>19</v>
      </c>
      <c r="B152" s="116" t="s">
        <v>93</v>
      </c>
      <c r="C152" s="52"/>
      <c r="D152" s="53" t="s">
        <v>35</v>
      </c>
      <c r="E152" s="53" t="s">
        <v>35</v>
      </c>
      <c r="F152" s="423"/>
      <c r="G152" s="424"/>
      <c r="H152" s="424"/>
      <c r="I152" s="424"/>
      <c r="J152" s="424"/>
      <c r="K152" s="424"/>
      <c r="L152" s="424"/>
      <c r="M152" s="424"/>
      <c r="N152" s="424"/>
      <c r="O152" s="424"/>
      <c r="P152" s="424"/>
      <c r="Q152" s="424"/>
      <c r="R152" s="424"/>
      <c r="S152" s="424"/>
      <c r="T152" s="113">
        <f>SUM(T168,T153,T158,T163)</f>
        <v>3441100</v>
      </c>
      <c r="U152" s="113">
        <f>SUM(U168,U153,U158,U163)</f>
        <v>3581600</v>
      </c>
      <c r="V152" s="113">
        <f>SUM(V168,V153,V158,V163)</f>
        <v>3727700</v>
      </c>
      <c r="W152" s="52"/>
      <c r="X152" s="54" t="str">
        <f>"Нормативные "&amp;TEXT(B152,"0")&amp;" включают в себя:
нормативные "&amp;TEXT(B153,"0")&amp;";
нормативные "&amp;TEXT(B158,"0")&amp;";
нормативные "&amp;TEXT(B163,"0")&amp;"; нормативные "&amp;TEXT(B168,"0")&amp;""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
нормативные затраты на оказание услуг по обучению персрнала;
нормативные затраты на оказание нотариальных услуг; нормативные затраты на оказание архивных услуг по переплету документов</v>
      </c>
    </row>
    <row r="153" spans="1:24" ht="102" customHeight="1" x14ac:dyDescent="0.25">
      <c r="A153" s="383" t="s">
        <v>20</v>
      </c>
      <c r="B153" s="617" t="s">
        <v>189</v>
      </c>
      <c r="C153" s="64"/>
      <c r="D153" s="619">
        <v>226</v>
      </c>
      <c r="E153" s="619">
        <v>244</v>
      </c>
      <c r="F153" s="380" t="s">
        <v>182</v>
      </c>
      <c r="G153" s="380"/>
      <c r="H153" s="380"/>
      <c r="I153" s="380"/>
      <c r="J153" s="380"/>
      <c r="K153" s="380"/>
      <c r="L153" s="380"/>
      <c r="M153" s="380"/>
      <c r="N153" s="380"/>
      <c r="O153" s="380"/>
      <c r="P153" s="380"/>
      <c r="Q153" s="380"/>
      <c r="R153" s="380"/>
      <c r="S153" s="65"/>
      <c r="T153" s="477">
        <f>M155</f>
        <v>423800</v>
      </c>
      <c r="U153" s="477">
        <f>M156</f>
        <v>441100</v>
      </c>
      <c r="V153" s="477">
        <f>M157</f>
        <v>459100</v>
      </c>
      <c r="W153" s="64"/>
      <c r="X153" s="54" t="s">
        <v>210</v>
      </c>
    </row>
    <row r="154" spans="1:24" ht="18" customHeight="1" outlineLevel="1" x14ac:dyDescent="0.25">
      <c r="A154" s="437"/>
      <c r="B154" s="618"/>
      <c r="C154" s="64"/>
      <c r="D154" s="437"/>
      <c r="E154" s="620"/>
      <c r="F154" s="61"/>
      <c r="G154" s="66">
        <v>93</v>
      </c>
      <c r="H154" s="67" t="s">
        <v>60</v>
      </c>
      <c r="I154" s="66"/>
      <c r="J154" s="67" t="s">
        <v>41</v>
      </c>
      <c r="K154" s="66">
        <f>ROUND((G154*I154),2)</f>
        <v>0</v>
      </c>
      <c r="L154" s="67" t="s">
        <v>37</v>
      </c>
      <c r="M154" s="67"/>
      <c r="N154" s="67"/>
      <c r="O154" s="67"/>
      <c r="P154" s="67"/>
      <c r="Q154" s="67"/>
      <c r="R154" s="65"/>
      <c r="S154" s="65"/>
      <c r="T154" s="477"/>
      <c r="U154" s="477"/>
      <c r="V154" s="477"/>
      <c r="W154" s="64"/>
      <c r="X154" s="54"/>
    </row>
    <row r="155" spans="1:24" ht="19.5" customHeight="1" x14ac:dyDescent="0.25">
      <c r="A155" s="437"/>
      <c r="B155" s="618"/>
      <c r="C155" s="64"/>
      <c r="D155" s="437"/>
      <c r="E155" s="620"/>
      <c r="F155" s="68" t="s">
        <v>150</v>
      </c>
      <c r="G155" s="66">
        <v>93</v>
      </c>
      <c r="H155" s="67" t="s">
        <v>195</v>
      </c>
      <c r="I155" s="69">
        <v>4556.67</v>
      </c>
      <c r="J155" s="67" t="s">
        <v>25</v>
      </c>
      <c r="K155" s="66">
        <f>ROUND((G155*I155),2)</f>
        <v>423770.31</v>
      </c>
      <c r="L155" s="67" t="s">
        <v>41</v>
      </c>
      <c r="M155" s="70">
        <f>ROUNDUP((K155),-2)</f>
        <v>423800</v>
      </c>
      <c r="N155" s="71" t="s">
        <v>37</v>
      </c>
      <c r="O155" s="70">
        <f>ROUNDUP((M155),-2)</f>
        <v>423800</v>
      </c>
      <c r="P155" s="72"/>
      <c r="Q155" s="72"/>
      <c r="R155" s="72"/>
      <c r="S155" s="65"/>
      <c r="T155" s="477"/>
      <c r="U155" s="477"/>
      <c r="V155" s="477"/>
      <c r="W155" s="64"/>
      <c r="X155" s="54" t="str">
        <f>""&amp;TEXT($G$154,"0,0")&amp;" заезда х "&amp;TEXT(ROUND((I155),2),"0 000,00")&amp;" руб. = "&amp;TEXT(ROUND(($G$154*(ROUND((K155/$G$154),2))),2),"0 000,00")&amp;" руб. = "&amp;TEXT(M155,"0 000,00")&amp;" руб."</f>
        <v>93,0 заезда х 4 556,67 руб. = 423 770,31 руб. = 423 800,00 руб.</v>
      </c>
    </row>
    <row r="156" spans="1:24" ht="19.5" customHeight="1" x14ac:dyDescent="0.25">
      <c r="A156" s="437"/>
      <c r="B156" s="618"/>
      <c r="C156" s="64"/>
      <c r="D156" s="437"/>
      <c r="E156" s="620"/>
      <c r="F156" s="68" t="s">
        <v>151</v>
      </c>
      <c r="G156" s="66">
        <f>G155</f>
        <v>93</v>
      </c>
      <c r="H156" s="67" t="s">
        <v>195</v>
      </c>
      <c r="I156" s="69">
        <f>I155*1.0408</f>
        <v>4742.582136</v>
      </c>
      <c r="J156" s="67" t="s">
        <v>25</v>
      </c>
      <c r="K156" s="66">
        <f t="shared" ref="K156:K157" si="53">ROUND((G156*I156),2)</f>
        <v>441060.14</v>
      </c>
      <c r="L156" s="67" t="s">
        <v>41</v>
      </c>
      <c r="M156" s="70">
        <f t="shared" ref="M156:M157" si="54">ROUNDUP((K156),-2)</f>
        <v>441100</v>
      </c>
      <c r="N156" s="67" t="s">
        <v>41</v>
      </c>
      <c r="O156" s="70">
        <f>ROUNDUP((M156),-2)</f>
        <v>441100</v>
      </c>
      <c r="P156" s="71" t="s">
        <v>37</v>
      </c>
      <c r="Q156" s="72"/>
      <c r="R156" s="72"/>
      <c r="S156" s="65"/>
      <c r="T156" s="477"/>
      <c r="U156" s="477"/>
      <c r="V156" s="477"/>
      <c r="W156" s="64"/>
      <c r="X156" s="54" t="str">
        <f t="shared" ref="X156:X157" si="55">""&amp;TEXT($G$154,"0,0")&amp;" заезда х "&amp;TEXT(ROUND((I156),2),"0 000,00")&amp;" руб. = "&amp;TEXT(ROUND(($G$154*(ROUND((K156/$G$154),2))),2),"0 000,00")&amp;" руб. = "&amp;TEXT(M156,"0 000,00")&amp;" руб."</f>
        <v>93,0 заезда х 4 742,58 руб. = 441 059,94 руб. = 441 100,00 руб.</v>
      </c>
    </row>
    <row r="157" spans="1:24" ht="19.5" customHeight="1" x14ac:dyDescent="0.25">
      <c r="A157" s="437"/>
      <c r="B157" s="618"/>
      <c r="C157" s="64"/>
      <c r="D157" s="437"/>
      <c r="E157" s="620"/>
      <c r="F157" s="68" t="s">
        <v>193</v>
      </c>
      <c r="G157" s="66">
        <f>G156</f>
        <v>93</v>
      </c>
      <c r="H157" s="67" t="s">
        <v>195</v>
      </c>
      <c r="I157" s="69">
        <f>I156*1.0408</f>
        <v>4936.0794871487997</v>
      </c>
      <c r="J157" s="67" t="s">
        <v>25</v>
      </c>
      <c r="K157" s="66">
        <f t="shared" si="53"/>
        <v>459055.39</v>
      </c>
      <c r="L157" s="67" t="s">
        <v>41</v>
      </c>
      <c r="M157" s="70">
        <f t="shared" si="54"/>
        <v>459100</v>
      </c>
      <c r="N157" s="67" t="s">
        <v>25</v>
      </c>
      <c r="O157" s="70">
        <f>ROUNDUP((M157),-2)</f>
        <v>459100</v>
      </c>
      <c r="P157" s="67" t="s">
        <v>41</v>
      </c>
      <c r="Q157" s="70">
        <f>ROUNDUP((O157),-2)</f>
        <v>459100</v>
      </c>
      <c r="R157" s="71" t="s">
        <v>37</v>
      </c>
      <c r="S157" s="65"/>
      <c r="T157" s="478"/>
      <c r="U157" s="478"/>
      <c r="V157" s="478"/>
      <c r="W157" s="64"/>
      <c r="X157" s="54" t="str">
        <f t="shared" si="55"/>
        <v>93,0 заезда х 4 936,08 руб. = 459 055,44 руб. = 459 100,00 руб.</v>
      </c>
    </row>
    <row r="158" spans="1:24" ht="121.5" customHeight="1" x14ac:dyDescent="0.25">
      <c r="A158" s="383" t="s">
        <v>21</v>
      </c>
      <c r="B158" s="617" t="s">
        <v>211</v>
      </c>
      <c r="C158" s="64"/>
      <c r="D158" s="619">
        <v>226</v>
      </c>
      <c r="E158" s="619">
        <v>244</v>
      </c>
      <c r="F158" s="380"/>
      <c r="G158" s="380"/>
      <c r="H158" s="380"/>
      <c r="I158" s="380"/>
      <c r="J158" s="380"/>
      <c r="K158" s="380"/>
      <c r="L158" s="380"/>
      <c r="M158" s="380"/>
      <c r="N158" s="380"/>
      <c r="O158" s="380"/>
      <c r="P158" s="380"/>
      <c r="Q158" s="380"/>
      <c r="R158" s="380"/>
      <c r="S158" s="65"/>
      <c r="T158" s="477">
        <v>1105000</v>
      </c>
      <c r="U158" s="477">
        <v>1150100</v>
      </c>
      <c r="V158" s="477">
        <v>1197000</v>
      </c>
      <c r="W158" s="64"/>
      <c r="X158" s="54" t="s">
        <v>79</v>
      </c>
    </row>
    <row r="159" spans="1:24" ht="16.5" customHeight="1" outlineLevel="1" x14ac:dyDescent="0.25">
      <c r="A159" s="383"/>
      <c r="B159" s="618"/>
      <c r="C159" s="64"/>
      <c r="D159" s="437"/>
      <c r="E159" s="437"/>
      <c r="F159" s="61"/>
      <c r="G159" s="66">
        <v>30</v>
      </c>
      <c r="H159" s="67" t="s">
        <v>66</v>
      </c>
      <c r="I159" s="66">
        <v>1</v>
      </c>
      <c r="J159" s="67"/>
      <c r="K159" s="66"/>
      <c r="L159" s="67" t="s">
        <v>41</v>
      </c>
      <c r="M159" s="66">
        <f>ROUND((G159*I159*K159),2)</f>
        <v>0</v>
      </c>
      <c r="N159" s="67" t="s">
        <v>37</v>
      </c>
      <c r="O159" s="66"/>
      <c r="P159" s="67"/>
      <c r="Q159" s="61"/>
      <c r="R159" s="65"/>
      <c r="S159" s="65"/>
      <c r="T159" s="477"/>
      <c r="U159" s="477"/>
      <c r="V159" s="477"/>
      <c r="W159" s="64"/>
    </row>
    <row r="160" spans="1:24" ht="18.75" customHeight="1" x14ac:dyDescent="0.25">
      <c r="A160" s="383"/>
      <c r="B160" s="618"/>
      <c r="C160" s="64"/>
      <c r="D160" s="437"/>
      <c r="E160" s="437"/>
      <c r="F160" s="68" t="s">
        <v>150</v>
      </c>
      <c r="G160" s="66">
        <f>G159</f>
        <v>30</v>
      </c>
      <c r="H160" s="67" t="s">
        <v>195</v>
      </c>
      <c r="I160" s="69">
        <v>1</v>
      </c>
      <c r="J160" s="67" t="s">
        <v>25</v>
      </c>
      <c r="K160" s="66">
        <v>36832.92</v>
      </c>
      <c r="L160" s="67" t="s">
        <v>41</v>
      </c>
      <c r="M160" s="70">
        <f>K160*I160*G160</f>
        <v>1104987.5999999999</v>
      </c>
      <c r="N160" s="71" t="s">
        <v>37</v>
      </c>
      <c r="O160" s="70">
        <f>ROUNDUP((M160),-2)</f>
        <v>1105000</v>
      </c>
      <c r="P160" s="72"/>
      <c r="Q160" s="72"/>
      <c r="R160" s="72"/>
      <c r="S160" s="65"/>
      <c r="T160" s="478"/>
      <c r="U160" s="478"/>
      <c r="V160" s="478"/>
      <c r="W160" s="64"/>
      <c r="X160" s="54" t="str">
        <f>""&amp;TEXT($G$159,"0,0")&amp;" чел. х "&amp;TEXT($I$159,"0,0")&amp;" раз х "&amp;TEXT(ROUND((M160/$G$159/$I$159),2),"0 000,00")&amp;" руб. = "&amp;TEXT(ROUND((($G$159*$I$159*ROUND((M160/$G$159/$I$159),2))),2),"0 000,00")&amp;" руб. = "&amp;TEXT(O160,"0 000,00")&amp;" руб."</f>
        <v>30,0 чел. х 1,0 раз х 36 832,92 руб. = 1 104 987,60 руб. = 1 105 000,00 руб.</v>
      </c>
    </row>
    <row r="161" spans="1:24" ht="18.75" customHeight="1" x14ac:dyDescent="0.25">
      <c r="A161" s="383"/>
      <c r="B161" s="618"/>
      <c r="C161" s="64"/>
      <c r="D161" s="437"/>
      <c r="E161" s="437"/>
      <c r="F161" s="68" t="s">
        <v>151</v>
      </c>
      <c r="G161" s="66">
        <f>G160</f>
        <v>30</v>
      </c>
      <c r="H161" s="67" t="str">
        <f>H160</f>
        <v xml:space="preserve">руб. х индекс потребительских цен </v>
      </c>
      <c r="I161" s="69">
        <v>1</v>
      </c>
      <c r="J161" s="67" t="s">
        <v>25</v>
      </c>
      <c r="K161" s="69">
        <v>38335.71</v>
      </c>
      <c r="L161" s="67" t="s">
        <v>41</v>
      </c>
      <c r="M161" s="70">
        <f t="shared" ref="M161:M162" si="56">K161*I161*G161</f>
        <v>1150071.3</v>
      </c>
      <c r="N161" s="67" t="s">
        <v>41</v>
      </c>
      <c r="O161" s="70">
        <f>ROUNDUP((M161),-2)</f>
        <v>1150100</v>
      </c>
      <c r="P161" s="71" t="s">
        <v>37</v>
      </c>
      <c r="Q161" s="72"/>
      <c r="R161" s="72"/>
      <c r="S161" s="65"/>
      <c r="T161" s="478"/>
      <c r="U161" s="478"/>
      <c r="V161" s="478"/>
      <c r="W161" s="64"/>
      <c r="X161" s="54" t="str">
        <f>""&amp;TEXT($G$159,"0,0")&amp;" чел. х "&amp;TEXT($I$159,"0,0")&amp;" раз х "&amp;TEXT(ROUND((M161/$G$159/$I$159),2),"0 000,00")&amp;" руб. = "&amp;TEXT(ROUND((($G$159*$I$159*ROUND((M161/$G$159/$I$159),2))),2),"0 000,00")&amp;" руб. = "&amp;TEXT(O161,"0 000,00")&amp;" руб."</f>
        <v>30,0 чел. х 1,0 раз х 38 335,71 руб. = 1 150 071,30 руб. = 1 150 100,00 руб.</v>
      </c>
    </row>
    <row r="162" spans="1:24" ht="18.75" customHeight="1" x14ac:dyDescent="0.25">
      <c r="A162" s="383"/>
      <c r="B162" s="618"/>
      <c r="C162" s="64"/>
      <c r="D162" s="437"/>
      <c r="E162" s="437"/>
      <c r="F162" s="68" t="s">
        <v>193</v>
      </c>
      <c r="G162" s="66">
        <f>G161</f>
        <v>30</v>
      </c>
      <c r="H162" s="67" t="str">
        <f>H160</f>
        <v xml:space="preserve">руб. х индекс потребительских цен </v>
      </c>
      <c r="I162" s="69">
        <v>1</v>
      </c>
      <c r="J162" s="67" t="s">
        <v>25</v>
      </c>
      <c r="K162" s="69">
        <f>K161*1.0408</f>
        <v>39899.806967999997</v>
      </c>
      <c r="L162" s="67" t="s">
        <v>41</v>
      </c>
      <c r="M162" s="70">
        <f t="shared" si="56"/>
        <v>1196994.2090399999</v>
      </c>
      <c r="N162" s="67" t="s">
        <v>25</v>
      </c>
      <c r="O162" s="70">
        <f>ROUNDUP((M162),-2)</f>
        <v>1197000</v>
      </c>
      <c r="P162" s="67" t="s">
        <v>41</v>
      </c>
      <c r="Q162" s="70">
        <f>ROUNDUP((O162),-2)</f>
        <v>1197000</v>
      </c>
      <c r="R162" s="71" t="s">
        <v>37</v>
      </c>
      <c r="S162" s="65"/>
      <c r="T162" s="478"/>
      <c r="U162" s="478"/>
      <c r="V162" s="478"/>
      <c r="W162" s="64"/>
      <c r="X162" s="54" t="str">
        <f>""&amp;TEXT($G$159,"0,0")&amp;" чел. х "&amp;TEXT($I$159,"0,0")&amp;" раз х "&amp;TEXT(ROUND((M162/$G$159/$I$159),2),"0 000,00")&amp;" руб. = "&amp;TEXT(ROUND((($G$159*$I$159*ROUND((M162/$G$159/$I$159),2))),2),"0 000,00")&amp;" руб. = "&amp;TEXT(O162,"0 000,00")&amp;" руб."</f>
        <v>30,0 чел. х 1,0 раз х 39 899,81 руб. = 1 196 994,30 руб. = 1 197 000,00 руб.</v>
      </c>
    </row>
    <row r="163" spans="1:24" ht="90" x14ac:dyDescent="0.25">
      <c r="A163" s="383" t="s">
        <v>22</v>
      </c>
      <c r="B163" s="617" t="s">
        <v>96</v>
      </c>
      <c r="C163" s="64"/>
      <c r="D163" s="619">
        <v>226</v>
      </c>
      <c r="E163" s="619">
        <v>244</v>
      </c>
      <c r="F163" s="380"/>
      <c r="G163" s="380"/>
      <c r="H163" s="380"/>
      <c r="I163" s="380"/>
      <c r="J163" s="380"/>
      <c r="K163" s="380"/>
      <c r="L163" s="380"/>
      <c r="M163" s="380"/>
      <c r="N163" s="380"/>
      <c r="O163" s="380"/>
      <c r="P163" s="380"/>
      <c r="Q163" s="380"/>
      <c r="R163" s="380"/>
      <c r="S163" s="65"/>
      <c r="T163" s="477">
        <v>4200</v>
      </c>
      <c r="U163" s="477">
        <v>4400</v>
      </c>
      <c r="V163" s="477">
        <v>4600</v>
      </c>
      <c r="W163" s="64"/>
      <c r="X163" s="54" t="s">
        <v>174</v>
      </c>
    </row>
    <row r="164" spans="1:24" ht="17.25" customHeight="1" outlineLevel="1" x14ac:dyDescent="0.25">
      <c r="A164" s="383"/>
      <c r="B164" s="618"/>
      <c r="C164" s="64"/>
      <c r="D164" s="437"/>
      <c r="E164" s="437"/>
      <c r="F164" s="61"/>
      <c r="G164" s="66">
        <v>2</v>
      </c>
      <c r="H164" s="67" t="s">
        <v>80</v>
      </c>
      <c r="I164" s="66"/>
      <c r="J164" s="67" t="s">
        <v>41</v>
      </c>
      <c r="K164" s="66"/>
      <c r="L164" s="67" t="s">
        <v>37</v>
      </c>
      <c r="M164" s="67"/>
      <c r="N164" s="67"/>
      <c r="O164" s="67"/>
      <c r="P164" s="67"/>
      <c r="Q164" s="67"/>
      <c r="R164" s="65"/>
      <c r="S164" s="65"/>
      <c r="T164" s="477"/>
      <c r="U164" s="477"/>
      <c r="V164" s="477"/>
      <c r="W164" s="64"/>
      <c r="X164" s="54"/>
    </row>
    <row r="165" spans="1:24" ht="19.5" customHeight="1" x14ac:dyDescent="0.25">
      <c r="A165" s="383"/>
      <c r="B165" s="618"/>
      <c r="C165" s="64"/>
      <c r="D165" s="437"/>
      <c r="E165" s="437"/>
      <c r="F165" s="68" t="s">
        <v>150</v>
      </c>
      <c r="G165" s="66">
        <v>2</v>
      </c>
      <c r="H165" s="67" t="s">
        <v>80</v>
      </c>
      <c r="I165" s="69">
        <v>2077.8000000000002</v>
      </c>
      <c r="J165" s="67" t="s">
        <v>25</v>
      </c>
      <c r="K165" s="66">
        <v>1</v>
      </c>
      <c r="L165" s="67" t="s">
        <v>41</v>
      </c>
      <c r="M165" s="66">
        <f>ROUND((G165*I165*K165),2)</f>
        <v>4155.6000000000004</v>
      </c>
      <c r="N165" s="71" t="s">
        <v>37</v>
      </c>
      <c r="O165" s="70">
        <f>ROUNDUP((M165),-2)</f>
        <v>4200</v>
      </c>
      <c r="P165" s="71" t="s">
        <v>37</v>
      </c>
      <c r="Q165" s="70">
        <f t="shared" ref="Q165:Q166" si="57">ROUNDUP((O165),-2)</f>
        <v>4200</v>
      </c>
      <c r="R165" s="72"/>
      <c r="S165" s="65"/>
      <c r="T165" s="478"/>
      <c r="U165" s="478"/>
      <c r="V165" s="478"/>
      <c r="W165" s="64"/>
      <c r="X165" s="54" t="str">
        <f>""&amp;TEXT($G$164,"0,0")&amp;" ед. х "&amp;TEXT(ROUND((I165),2),"0 000,00")&amp;" руб. = "&amp;TEXT(ROUND(((ROUND((M165),2))),2),"0 000,00")&amp;" руб. = "&amp;TEXT(O165,"0 000,00")&amp;" руб."</f>
        <v>2,0 ед. х 2 077,80 руб. = 4 155,60 руб. = 4 200,00 руб.</v>
      </c>
    </row>
    <row r="166" spans="1:24" ht="19.5" customHeight="1" x14ac:dyDescent="0.25">
      <c r="A166" s="383"/>
      <c r="B166" s="618"/>
      <c r="C166" s="64"/>
      <c r="D166" s="437"/>
      <c r="E166" s="437"/>
      <c r="F166" s="68" t="s">
        <v>151</v>
      </c>
      <c r="G166" s="66">
        <v>2</v>
      </c>
      <c r="H166" s="67" t="s">
        <v>80</v>
      </c>
      <c r="I166" s="69">
        <v>2162.58</v>
      </c>
      <c r="J166" s="67" t="s">
        <v>25</v>
      </c>
      <c r="K166" s="69">
        <v>1</v>
      </c>
      <c r="L166" s="67" t="s">
        <v>41</v>
      </c>
      <c r="M166" s="66">
        <f t="shared" ref="M166:M167" si="58">ROUND((G166*I166*K166),2)</f>
        <v>4325.16</v>
      </c>
      <c r="N166" s="71" t="s">
        <v>37</v>
      </c>
      <c r="O166" s="70">
        <f t="shared" ref="O166:O167" si="59">ROUNDUP((M166),-2)</f>
        <v>4400</v>
      </c>
      <c r="P166" s="71" t="s">
        <v>37</v>
      </c>
      <c r="Q166" s="70">
        <f t="shared" si="57"/>
        <v>4400</v>
      </c>
      <c r="R166" s="72"/>
      <c r="S166" s="65"/>
      <c r="T166" s="478"/>
      <c r="U166" s="478"/>
      <c r="V166" s="478"/>
      <c r="W166" s="64"/>
      <c r="X166" s="54" t="str">
        <f t="shared" ref="X166:X167" si="60">""&amp;TEXT($G$164,"0,0")&amp;" ед. х "&amp;TEXT(ROUND((I166),2),"0 000,00")&amp;" руб. = "&amp;TEXT(ROUND(((ROUND((M166),2))),2),"0 000,00")&amp;" руб. = "&amp;TEXT(O166,"0 000,00")&amp;" руб."</f>
        <v>2,0 ед. х 2 162,58 руб. = 4 325,16 руб. = 4 400,00 руб.</v>
      </c>
    </row>
    <row r="167" spans="1:24" ht="19.5" customHeight="1" x14ac:dyDescent="0.25">
      <c r="A167" s="383"/>
      <c r="B167" s="618"/>
      <c r="C167" s="64"/>
      <c r="D167" s="437"/>
      <c r="E167" s="437"/>
      <c r="F167" s="68" t="s">
        <v>193</v>
      </c>
      <c r="G167" s="66">
        <v>2</v>
      </c>
      <c r="H167" s="67" t="s">
        <v>80</v>
      </c>
      <c r="I167" s="69">
        <f>I166*1.0408</f>
        <v>2250.8132639999999</v>
      </c>
      <c r="J167" s="67" t="s">
        <v>25</v>
      </c>
      <c r="K167" s="69">
        <v>1</v>
      </c>
      <c r="L167" s="67" t="s">
        <v>41</v>
      </c>
      <c r="M167" s="66">
        <f t="shared" si="58"/>
        <v>4501.63</v>
      </c>
      <c r="N167" s="71" t="s">
        <v>37</v>
      </c>
      <c r="O167" s="70">
        <f t="shared" si="59"/>
        <v>4600</v>
      </c>
      <c r="P167" s="71" t="s">
        <v>37</v>
      </c>
      <c r="Q167" s="70">
        <f>ROUNDUP((O167),-2)</f>
        <v>4600</v>
      </c>
      <c r="R167" s="71" t="s">
        <v>37</v>
      </c>
      <c r="S167" s="65"/>
      <c r="T167" s="478"/>
      <c r="U167" s="478"/>
      <c r="V167" s="478"/>
      <c r="W167" s="64"/>
      <c r="X167" s="54" t="str">
        <f t="shared" si="60"/>
        <v>2,0 ед. х 2 250,81 руб. = 4 501,63 руб. = 4 600,00 руб.</v>
      </c>
    </row>
    <row r="168" spans="1:24" ht="90" x14ac:dyDescent="0.25">
      <c r="A168" s="388" t="s">
        <v>190</v>
      </c>
      <c r="B168" s="611" t="s">
        <v>191</v>
      </c>
      <c r="C168" s="64"/>
      <c r="D168" s="614">
        <v>226</v>
      </c>
      <c r="E168" s="614">
        <v>244</v>
      </c>
      <c r="F168" s="380"/>
      <c r="G168" s="380"/>
      <c r="H168" s="380"/>
      <c r="I168" s="380"/>
      <c r="J168" s="380"/>
      <c r="K168" s="380"/>
      <c r="L168" s="380"/>
      <c r="M168" s="380"/>
      <c r="N168" s="380"/>
      <c r="O168" s="380"/>
      <c r="P168" s="380"/>
      <c r="Q168" s="380"/>
      <c r="R168" s="380"/>
      <c r="S168" s="65"/>
      <c r="T168" s="420">
        <f>O170</f>
        <v>1908100</v>
      </c>
      <c r="U168" s="420">
        <f>O171</f>
        <v>1986000</v>
      </c>
      <c r="V168" s="420">
        <f>O172</f>
        <v>2067000</v>
      </c>
      <c r="W168" s="64"/>
      <c r="X168" s="54" t="s">
        <v>192</v>
      </c>
    </row>
    <row r="169" spans="1:24" ht="15" x14ac:dyDescent="0.25">
      <c r="A169" s="389"/>
      <c r="B169" s="612"/>
      <c r="C169" s="64"/>
      <c r="D169" s="615"/>
      <c r="E169" s="615"/>
      <c r="F169" s="61"/>
      <c r="G169" s="66">
        <v>1800</v>
      </c>
      <c r="H169" s="67" t="s">
        <v>195</v>
      </c>
      <c r="I169" s="69"/>
      <c r="J169" s="65" t="s">
        <v>25</v>
      </c>
      <c r="K169" s="69"/>
      <c r="L169" s="67" t="s">
        <v>37</v>
      </c>
      <c r="M169" s="66"/>
      <c r="N169" s="67"/>
      <c r="O169" s="70"/>
      <c r="P169" s="71"/>
      <c r="Q169" s="72"/>
      <c r="R169" s="72"/>
      <c r="S169" s="65"/>
      <c r="T169" s="421"/>
      <c r="U169" s="421"/>
      <c r="V169" s="421"/>
      <c r="W169" s="64"/>
      <c r="X169" s="54"/>
    </row>
    <row r="170" spans="1:24" ht="23.25" customHeight="1" x14ac:dyDescent="0.25">
      <c r="A170" s="389"/>
      <c r="B170" s="612"/>
      <c r="C170" s="64"/>
      <c r="D170" s="615"/>
      <c r="E170" s="615"/>
      <c r="F170" s="68" t="s">
        <v>150</v>
      </c>
      <c r="G170" s="66">
        <v>1800</v>
      </c>
      <c r="H170" s="67" t="s">
        <v>195</v>
      </c>
      <c r="I170" s="69">
        <v>1060.05</v>
      </c>
      <c r="J170" s="65" t="s">
        <v>25</v>
      </c>
      <c r="K170" s="69">
        <v>1</v>
      </c>
      <c r="L170" s="67" t="s">
        <v>37</v>
      </c>
      <c r="M170" s="66">
        <f>ROUND((G170*I170*K170),2)</f>
        <v>1908090</v>
      </c>
      <c r="N170" s="71" t="s">
        <v>37</v>
      </c>
      <c r="O170" s="70">
        <f>ROUNDUP((M170),-2)</f>
        <v>1908100</v>
      </c>
      <c r="P170" s="71" t="s">
        <v>37</v>
      </c>
      <c r="Q170" s="70">
        <f t="shared" ref="Q170:Q171" si="61">ROUNDUP((O170),-2)</f>
        <v>1908100</v>
      </c>
      <c r="R170" s="72"/>
      <c r="S170" s="65"/>
      <c r="T170" s="421"/>
      <c r="U170" s="421"/>
      <c r="V170" s="421"/>
      <c r="W170" s="64"/>
      <c r="X170" s="54" t="str">
        <f>""&amp;TEXT($G$171,"0,0")&amp;" ед. х "&amp;TEXT(ROUND((I170),2),"0 000,00")&amp;" руб. = "&amp;TEXT(ROUND(((ROUND((G170*I170),2))),2),"0 000,00")&amp;" руб. = "&amp;TEXT(O170,"0 000,00")&amp;" руб."</f>
        <v>1800,0 ед. х 1 060,05 руб. = 1 908 090,00 руб. = 1 908 100,00 руб.</v>
      </c>
    </row>
    <row r="171" spans="1:24" ht="21" customHeight="1" x14ac:dyDescent="0.25">
      <c r="A171" s="389"/>
      <c r="B171" s="612"/>
      <c r="C171" s="64"/>
      <c r="D171" s="615"/>
      <c r="E171" s="615"/>
      <c r="F171" s="68" t="s">
        <v>151</v>
      </c>
      <c r="G171" s="66">
        <v>1800</v>
      </c>
      <c r="H171" s="67" t="s">
        <v>195</v>
      </c>
      <c r="I171" s="69">
        <v>1103.3</v>
      </c>
      <c r="J171" s="65" t="s">
        <v>25</v>
      </c>
      <c r="K171" s="69">
        <v>1</v>
      </c>
      <c r="L171" s="67" t="s">
        <v>37</v>
      </c>
      <c r="M171" s="66">
        <f>ROUND((G171*I171*K171),2)</f>
        <v>1985940</v>
      </c>
      <c r="N171" s="71" t="s">
        <v>37</v>
      </c>
      <c r="O171" s="70">
        <f>ROUNDUP((M171),-2)</f>
        <v>1986000</v>
      </c>
      <c r="P171" s="71" t="s">
        <v>37</v>
      </c>
      <c r="Q171" s="70">
        <f t="shared" si="61"/>
        <v>1986000</v>
      </c>
      <c r="R171" s="72"/>
      <c r="S171" s="65"/>
      <c r="T171" s="421"/>
      <c r="U171" s="421"/>
      <c r="V171" s="421"/>
      <c r="W171" s="64"/>
      <c r="X171" s="54" t="str">
        <f t="shared" ref="X171:X172" si="62">""&amp;TEXT($G$171,"0,0")&amp;" ед. х "&amp;TEXT(ROUND((I171),2),"0 000,00")&amp;" руб. = "&amp;TEXT(ROUND(((ROUND((G171*I171),2))),2),"0 000,00")&amp;" руб. = "&amp;TEXT(O171,"0 000,00")&amp;" руб."</f>
        <v>1800,0 ед. х 1 103,30 руб. = 1 985 940,00 руб. = 1 986 000,00 руб.</v>
      </c>
    </row>
    <row r="172" spans="1:24" ht="21" customHeight="1" x14ac:dyDescent="0.25">
      <c r="A172" s="390"/>
      <c r="B172" s="613"/>
      <c r="C172" s="64"/>
      <c r="D172" s="616"/>
      <c r="E172" s="616"/>
      <c r="F172" s="68" t="s">
        <v>193</v>
      </c>
      <c r="G172" s="66">
        <v>1800</v>
      </c>
      <c r="H172" s="67" t="s">
        <v>195</v>
      </c>
      <c r="I172" s="69">
        <f>I171*1.0408</f>
        <v>1148.3146399999998</v>
      </c>
      <c r="J172" s="65" t="s">
        <v>25</v>
      </c>
      <c r="K172" s="69">
        <v>1</v>
      </c>
      <c r="L172" s="67" t="s">
        <v>37</v>
      </c>
      <c r="M172" s="66">
        <f>ROUND((G172*I172*K172),2)</f>
        <v>2066966.35</v>
      </c>
      <c r="N172" s="71" t="s">
        <v>37</v>
      </c>
      <c r="O172" s="70">
        <f>ROUNDUP((M172),-2)</f>
        <v>2067000</v>
      </c>
      <c r="P172" s="71" t="s">
        <v>37</v>
      </c>
      <c r="Q172" s="70">
        <f>ROUNDUP((O172),-2)</f>
        <v>2067000</v>
      </c>
      <c r="R172" s="71" t="s">
        <v>37</v>
      </c>
      <c r="S172" s="65"/>
      <c r="T172" s="422"/>
      <c r="U172" s="422"/>
      <c r="V172" s="422"/>
      <c r="W172" s="64"/>
      <c r="X172" s="54" t="str">
        <f t="shared" si="62"/>
        <v>1800,0 ед. х 1 148,31 руб. = 2 066 966,35 руб. = 2 067 000,00 руб.</v>
      </c>
    </row>
    <row r="173" spans="1:24" x14ac:dyDescent="0.25">
      <c r="A173" s="100"/>
      <c r="B173" s="114"/>
      <c r="C173" s="61"/>
      <c r="D173" s="61"/>
      <c r="E173" s="61"/>
      <c r="F173" s="61"/>
      <c r="G173" s="61"/>
      <c r="H173" s="61"/>
      <c r="I173" s="61"/>
      <c r="J173" s="61"/>
      <c r="K173" s="61"/>
      <c r="L173" s="61"/>
      <c r="M173" s="61"/>
      <c r="N173" s="61"/>
      <c r="O173" s="61"/>
      <c r="P173" s="61"/>
      <c r="Q173" s="61"/>
      <c r="R173" s="61"/>
      <c r="S173" s="61"/>
      <c r="T173" s="114"/>
      <c r="U173" s="114"/>
      <c r="V173" s="114"/>
      <c r="W173" s="61"/>
      <c r="X173" s="61"/>
    </row>
    <row r="174" spans="1:24" ht="27.75" customHeight="1" x14ac:dyDescent="0.25">
      <c r="A174" s="481" t="s">
        <v>216</v>
      </c>
      <c r="B174" s="481"/>
      <c r="C174" s="481"/>
      <c r="D174" s="481"/>
      <c r="E174" s="481"/>
      <c r="F174" s="481"/>
      <c r="G174" s="481"/>
      <c r="H174" s="481"/>
      <c r="I174" s="481"/>
      <c r="J174" s="481"/>
      <c r="K174" s="481"/>
      <c r="L174" s="481"/>
      <c r="M174" s="481"/>
      <c r="N174" s="481"/>
      <c r="O174" s="481"/>
      <c r="P174" s="481"/>
      <c r="Q174" s="481"/>
      <c r="R174" s="481"/>
      <c r="S174" s="481"/>
      <c r="T174" s="481"/>
      <c r="U174" s="481"/>
      <c r="V174" s="481"/>
      <c r="W174" s="481"/>
      <c r="X174" s="481"/>
    </row>
    <row r="175" spans="1:24" ht="10.5" customHeight="1" x14ac:dyDescent="0.25">
      <c r="A175" s="101"/>
      <c r="B175" s="101"/>
      <c r="C175" s="101"/>
      <c r="D175" s="101"/>
      <c r="E175" s="101"/>
      <c r="F175" s="101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1"/>
      <c r="R175" s="101"/>
      <c r="S175" s="101"/>
      <c r="T175" s="101"/>
      <c r="U175" s="101"/>
      <c r="V175" s="101"/>
      <c r="W175" s="101"/>
      <c r="X175" s="101"/>
    </row>
    <row r="176" spans="1:24" ht="25.5" customHeight="1" x14ac:dyDescent="0.25">
      <c r="A176" s="102" t="s">
        <v>197</v>
      </c>
      <c r="X176" s="103" t="s">
        <v>196</v>
      </c>
    </row>
    <row r="178" spans="1:1" x14ac:dyDescent="0.25">
      <c r="A178" s="104">
        <v>43987</v>
      </c>
    </row>
  </sheetData>
  <autoFilter ref="D8:R167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271">
    <mergeCell ref="A174:X174"/>
    <mergeCell ref="A168:A172"/>
    <mergeCell ref="B168:B172"/>
    <mergeCell ref="D168:D172"/>
    <mergeCell ref="E168:E172"/>
    <mergeCell ref="F168:R168"/>
    <mergeCell ref="T168:T172"/>
    <mergeCell ref="U168:U172"/>
    <mergeCell ref="V168:V172"/>
    <mergeCell ref="V163:V167"/>
    <mergeCell ref="T153:T157"/>
    <mergeCell ref="U153:U157"/>
    <mergeCell ref="V153:V157"/>
    <mergeCell ref="A158:A162"/>
    <mergeCell ref="B158:B162"/>
    <mergeCell ref="D158:D162"/>
    <mergeCell ref="E158:E162"/>
    <mergeCell ref="F158:R158"/>
    <mergeCell ref="T158:T162"/>
    <mergeCell ref="U158:U162"/>
    <mergeCell ref="V158:V162"/>
    <mergeCell ref="A163:A167"/>
    <mergeCell ref="B163:B167"/>
    <mergeCell ref="D163:D167"/>
    <mergeCell ref="E163:E167"/>
    <mergeCell ref="F163:R163"/>
    <mergeCell ref="T163:T167"/>
    <mergeCell ref="U163:U167"/>
    <mergeCell ref="A153:A157"/>
    <mergeCell ref="B153:B157"/>
    <mergeCell ref="D153:D157"/>
    <mergeCell ref="E153:E157"/>
    <mergeCell ref="F153:R153"/>
    <mergeCell ref="V147:V151"/>
    <mergeCell ref="A137:A141"/>
    <mergeCell ref="B137:B141"/>
    <mergeCell ref="D137:D141"/>
    <mergeCell ref="E137:E141"/>
    <mergeCell ref="F137:R137"/>
    <mergeCell ref="T137:T141"/>
    <mergeCell ref="U137:U141"/>
    <mergeCell ref="V137:V141"/>
    <mergeCell ref="A142:A146"/>
    <mergeCell ref="V129:V132"/>
    <mergeCell ref="A133:A136"/>
    <mergeCell ref="B133:B136"/>
    <mergeCell ref="D133:D136"/>
    <mergeCell ref="E133:E136"/>
    <mergeCell ref="F133:R133"/>
    <mergeCell ref="T133:T136"/>
    <mergeCell ref="U133:U136"/>
    <mergeCell ref="F152:S152"/>
    <mergeCell ref="B142:B146"/>
    <mergeCell ref="D142:D146"/>
    <mergeCell ref="E142:E146"/>
    <mergeCell ref="F142:R142"/>
    <mergeCell ref="T142:T146"/>
    <mergeCell ref="U142:U146"/>
    <mergeCell ref="V142:V146"/>
    <mergeCell ref="V133:V136"/>
    <mergeCell ref="A147:A151"/>
    <mergeCell ref="B147:B151"/>
    <mergeCell ref="D147:D151"/>
    <mergeCell ref="E147:E151"/>
    <mergeCell ref="F147:R147"/>
    <mergeCell ref="T147:T151"/>
    <mergeCell ref="U147:U151"/>
    <mergeCell ref="U129:U132"/>
    <mergeCell ref="A114:A117"/>
    <mergeCell ref="B114:B117"/>
    <mergeCell ref="D114:D117"/>
    <mergeCell ref="E114:E117"/>
    <mergeCell ref="F114:R114"/>
    <mergeCell ref="T114:T117"/>
    <mergeCell ref="U114:U117"/>
    <mergeCell ref="V118:V122"/>
    <mergeCell ref="A123:A127"/>
    <mergeCell ref="B123:B127"/>
    <mergeCell ref="D123:D127"/>
    <mergeCell ref="E123:E127"/>
    <mergeCell ref="F123:R123"/>
    <mergeCell ref="T123:T127"/>
    <mergeCell ref="U123:U127"/>
    <mergeCell ref="V123:V127"/>
    <mergeCell ref="A118:A122"/>
    <mergeCell ref="B118:B122"/>
    <mergeCell ref="D118:D122"/>
    <mergeCell ref="E118:E122"/>
    <mergeCell ref="F118:R118"/>
    <mergeCell ref="T118:T122"/>
    <mergeCell ref="U118:U122"/>
    <mergeCell ref="F103:R103"/>
    <mergeCell ref="T103:T107"/>
    <mergeCell ref="F128:S128"/>
    <mergeCell ref="A129:A132"/>
    <mergeCell ref="B129:B132"/>
    <mergeCell ref="D129:D132"/>
    <mergeCell ref="E129:E132"/>
    <mergeCell ref="F129:R129"/>
    <mergeCell ref="T129:T132"/>
    <mergeCell ref="V114:V117"/>
    <mergeCell ref="A98:A102"/>
    <mergeCell ref="B98:B102"/>
    <mergeCell ref="D98:D102"/>
    <mergeCell ref="E98:E102"/>
    <mergeCell ref="F98:R98"/>
    <mergeCell ref="T98:T102"/>
    <mergeCell ref="U98:U102"/>
    <mergeCell ref="V98:V102"/>
    <mergeCell ref="F113:S113"/>
    <mergeCell ref="U103:U107"/>
    <mergeCell ref="V103:V107"/>
    <mergeCell ref="A108:A112"/>
    <mergeCell ref="B108:B112"/>
    <mergeCell ref="D108:D112"/>
    <mergeCell ref="E108:E112"/>
    <mergeCell ref="F108:R108"/>
    <mergeCell ref="T108:T112"/>
    <mergeCell ref="U108:U112"/>
    <mergeCell ref="V108:V112"/>
    <mergeCell ref="A103:A107"/>
    <mergeCell ref="B103:B107"/>
    <mergeCell ref="D103:D107"/>
    <mergeCell ref="E103:E107"/>
    <mergeCell ref="V88:V91"/>
    <mergeCell ref="F92:R92"/>
    <mergeCell ref="A93:A97"/>
    <mergeCell ref="B93:B97"/>
    <mergeCell ref="D93:D97"/>
    <mergeCell ref="E93:E97"/>
    <mergeCell ref="F93:R93"/>
    <mergeCell ref="T93:T97"/>
    <mergeCell ref="U93:U97"/>
    <mergeCell ref="V93:V97"/>
    <mergeCell ref="V72:V76"/>
    <mergeCell ref="A85:A86"/>
    <mergeCell ref="D85:D86"/>
    <mergeCell ref="E85:E86"/>
    <mergeCell ref="F85:S86"/>
    <mergeCell ref="T85:T86"/>
    <mergeCell ref="U85:U86"/>
    <mergeCell ref="V85:V86"/>
    <mergeCell ref="F77:S77"/>
    <mergeCell ref="A78:A82"/>
    <mergeCell ref="B78:B82"/>
    <mergeCell ref="D78:D82"/>
    <mergeCell ref="E78:E82"/>
    <mergeCell ref="F78:R78"/>
    <mergeCell ref="T78:T82"/>
    <mergeCell ref="U78:U82"/>
    <mergeCell ref="V78:V82"/>
    <mergeCell ref="V45:V49"/>
    <mergeCell ref="F66:S66"/>
    <mergeCell ref="A67:A71"/>
    <mergeCell ref="B67:B71"/>
    <mergeCell ref="D67:D71"/>
    <mergeCell ref="E67:E71"/>
    <mergeCell ref="F67:R67"/>
    <mergeCell ref="V50:V54"/>
    <mergeCell ref="F55:S55"/>
    <mergeCell ref="A61:A65"/>
    <mergeCell ref="B61:B65"/>
    <mergeCell ref="D61:D65"/>
    <mergeCell ref="E61:E65"/>
    <mergeCell ref="F61:R61"/>
    <mergeCell ref="T61:T65"/>
    <mergeCell ref="U61:U65"/>
    <mergeCell ref="V61:V65"/>
    <mergeCell ref="T67:T71"/>
    <mergeCell ref="U67:U71"/>
    <mergeCell ref="V67:V71"/>
    <mergeCell ref="A50:A54"/>
    <mergeCell ref="B50:B54"/>
    <mergeCell ref="D50:D54"/>
    <mergeCell ref="E50:E54"/>
    <mergeCell ref="F50:R50"/>
    <mergeCell ref="T50:T54"/>
    <mergeCell ref="U50:U54"/>
    <mergeCell ref="A45:A49"/>
    <mergeCell ref="B45:B49"/>
    <mergeCell ref="D45:D49"/>
    <mergeCell ref="E45:E49"/>
    <mergeCell ref="F45:R45"/>
    <mergeCell ref="T45:T49"/>
    <mergeCell ref="U45:U49"/>
    <mergeCell ref="V30:V36"/>
    <mergeCell ref="X31:X32"/>
    <mergeCell ref="X33:X34"/>
    <mergeCell ref="X35:X36"/>
    <mergeCell ref="F37:S37"/>
    <mergeCell ref="F38:S38"/>
    <mergeCell ref="T40:T44"/>
    <mergeCell ref="U40:U44"/>
    <mergeCell ref="V40:V44"/>
    <mergeCell ref="A30:A36"/>
    <mergeCell ref="B30:B36"/>
    <mergeCell ref="D30:D36"/>
    <mergeCell ref="E30:E36"/>
    <mergeCell ref="F30:R30"/>
    <mergeCell ref="T30:T36"/>
    <mergeCell ref="U30:U36"/>
    <mergeCell ref="F39:S39"/>
    <mergeCell ref="A40:A44"/>
    <mergeCell ref="B40:B44"/>
    <mergeCell ref="D40:D44"/>
    <mergeCell ref="E40:E44"/>
    <mergeCell ref="F40:R40"/>
    <mergeCell ref="V20:V24"/>
    <mergeCell ref="A15:A19"/>
    <mergeCell ref="B15:B19"/>
    <mergeCell ref="D15:D19"/>
    <mergeCell ref="E15:E19"/>
    <mergeCell ref="F15:R15"/>
    <mergeCell ref="T15:T19"/>
    <mergeCell ref="T26:T29"/>
    <mergeCell ref="U26:U29"/>
    <mergeCell ref="V26:V29"/>
    <mergeCell ref="X8:X9"/>
    <mergeCell ref="F11:S11"/>
    <mergeCell ref="F12:S12"/>
    <mergeCell ref="F13:S13"/>
    <mergeCell ref="F14:S14"/>
    <mergeCell ref="A2:X2"/>
    <mergeCell ref="A3:X3"/>
    <mergeCell ref="A4:X4"/>
    <mergeCell ref="A5:X5"/>
    <mergeCell ref="A6:X6"/>
    <mergeCell ref="A8:A9"/>
    <mergeCell ref="B8:B9"/>
    <mergeCell ref="D8:D9"/>
    <mergeCell ref="E8:E9"/>
    <mergeCell ref="F8:R9"/>
    <mergeCell ref="V56:V60"/>
    <mergeCell ref="A72:A76"/>
    <mergeCell ref="B72:B76"/>
    <mergeCell ref="D72:D76"/>
    <mergeCell ref="E72:E76"/>
    <mergeCell ref="F72:R72"/>
    <mergeCell ref="T72:T76"/>
    <mergeCell ref="U72:U76"/>
    <mergeCell ref="T8:V8"/>
    <mergeCell ref="F25:S25"/>
    <mergeCell ref="A26:A29"/>
    <mergeCell ref="B26:B29"/>
    <mergeCell ref="D26:D29"/>
    <mergeCell ref="E26:E29"/>
    <mergeCell ref="F26:R26"/>
    <mergeCell ref="U15:U19"/>
    <mergeCell ref="V15:V19"/>
    <mergeCell ref="A20:A24"/>
    <mergeCell ref="B20:B24"/>
    <mergeCell ref="D20:D24"/>
    <mergeCell ref="E20:E24"/>
    <mergeCell ref="F20:R20"/>
    <mergeCell ref="T20:T24"/>
    <mergeCell ref="U20:U24"/>
    <mergeCell ref="F87:S87"/>
    <mergeCell ref="A88:A91"/>
    <mergeCell ref="A56:A60"/>
    <mergeCell ref="B56:B60"/>
    <mergeCell ref="D56:D60"/>
    <mergeCell ref="E56:E60"/>
    <mergeCell ref="F56:R56"/>
    <mergeCell ref="T56:T60"/>
    <mergeCell ref="U56:U60"/>
    <mergeCell ref="B88:B91"/>
    <mergeCell ref="D88:D91"/>
    <mergeCell ref="E88:E91"/>
    <mergeCell ref="F88:R88"/>
    <mergeCell ref="T88:T91"/>
    <mergeCell ref="U88:U91"/>
  </mergeCells>
  <pageMargins left="0.55118110236220474" right="0.39370078740157483" top="0.82677165354330717" bottom="0.35433070866141736" header="0.31496062992125984" footer="0.19685039370078741"/>
  <pageSetup paperSize="9" scale="45" fitToHeight="13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Y148"/>
  <sheetViews>
    <sheetView view="pageBreakPreview" zoomScale="80" zoomScaleSheetLayoutView="80" workbookViewId="0">
      <pane xSplit="2" ySplit="10" topLeftCell="S52" activePane="bottomRight" state="frozen"/>
      <selection pane="topRight" activeCell="C1" sqref="C1"/>
      <selection pane="bottomLeft" activeCell="A11" sqref="A11"/>
      <selection pane="bottomRight" activeCell="X66" sqref="X66"/>
    </sheetView>
  </sheetViews>
  <sheetFormatPr defaultColWidth="9.140625" defaultRowHeight="15" outlineLevelRow="1" outlineLevelCol="1" x14ac:dyDescent="0.25"/>
  <cols>
    <col min="1" max="1" width="9.5703125" style="2" customWidth="1"/>
    <col min="2" max="2" width="41.5703125" style="2" customWidth="1" collapsed="1"/>
    <col min="3" max="3" width="0.28515625" style="2" hidden="1" customWidth="1" outlineLevel="1" collapsed="1"/>
    <col min="4" max="4" width="9" style="2" hidden="1" customWidth="1" outlineLevel="1"/>
    <col min="5" max="5" width="9" style="2" hidden="1" customWidth="1" outlineLevel="1" collapsed="1"/>
    <col min="6" max="6" width="25.140625" style="2" hidden="1" customWidth="1" outlineLevel="1"/>
    <col min="7" max="7" width="13.5703125" style="2" hidden="1" customWidth="1" outlineLevel="1"/>
    <col min="8" max="8" width="43.5703125" style="2" hidden="1" customWidth="1" outlineLevel="1"/>
    <col min="9" max="9" width="13.5703125" style="2" hidden="1" customWidth="1" outlineLevel="1"/>
    <col min="10" max="10" width="39.42578125" style="2" hidden="1" customWidth="1" outlineLevel="1"/>
    <col min="11" max="11" width="13.85546875" style="2" hidden="1" customWidth="1" outlineLevel="1"/>
    <col min="12" max="12" width="38.28515625" style="2" hidden="1" customWidth="1" outlineLevel="1"/>
    <col min="13" max="13" width="14.140625" style="2" hidden="1" customWidth="1" outlineLevel="1"/>
    <col min="14" max="14" width="6.42578125" style="2" hidden="1" customWidth="1" outlineLevel="1"/>
    <col min="15" max="15" width="14.42578125" style="2" hidden="1" customWidth="1" outlineLevel="1"/>
    <col min="16" max="16" width="6.85546875" style="2" hidden="1" customWidth="1" outlineLevel="1"/>
    <col min="17" max="17" width="13.5703125" style="2" hidden="1" customWidth="1" outlineLevel="1"/>
    <col min="18" max="18" width="5.42578125" style="2" hidden="1" customWidth="1" outlineLevel="1"/>
    <col min="19" max="19" width="0.140625" style="2" customWidth="1" collapsed="1"/>
    <col min="20" max="20" width="15.85546875" style="2" customWidth="1"/>
    <col min="21" max="21" width="15.140625" style="2" customWidth="1"/>
    <col min="22" max="22" width="15.28515625" style="2" customWidth="1"/>
    <col min="23" max="23" width="0.28515625" style="2" hidden="1" customWidth="1"/>
    <col min="24" max="24" width="104.42578125" style="2" customWidth="1" collapsed="1"/>
    <col min="25" max="25" width="18.28515625" style="2" customWidth="1"/>
    <col min="26" max="26" width="14.140625" style="2" customWidth="1"/>
    <col min="27" max="27" width="15.42578125" style="2" customWidth="1"/>
    <col min="28" max="16384" width="9.140625" style="2"/>
  </cols>
  <sheetData>
    <row r="1" spans="1:24" ht="18.75" x14ac:dyDescent="0.25">
      <c r="A1" s="1"/>
    </row>
    <row r="2" spans="1:24" x14ac:dyDescent="0.25">
      <c r="A2" s="667" t="s">
        <v>0</v>
      </c>
      <c r="B2" s="668"/>
      <c r="C2" s="668"/>
      <c r="D2" s="668"/>
      <c r="E2" s="668"/>
      <c r="F2" s="668"/>
      <c r="G2" s="668"/>
      <c r="H2" s="668"/>
      <c r="I2" s="668"/>
      <c r="J2" s="668"/>
      <c r="K2" s="668"/>
      <c r="L2" s="668"/>
      <c r="M2" s="668"/>
      <c r="N2" s="668"/>
      <c r="O2" s="668"/>
      <c r="P2" s="668"/>
      <c r="Q2" s="668"/>
      <c r="R2" s="668"/>
      <c r="S2" s="668"/>
      <c r="T2" s="668"/>
      <c r="U2" s="668"/>
      <c r="V2" s="668"/>
      <c r="W2" s="668"/>
      <c r="X2" s="668"/>
    </row>
    <row r="3" spans="1:24" x14ac:dyDescent="0.25">
      <c r="A3" s="669" t="s">
        <v>1</v>
      </c>
      <c r="B3" s="668"/>
      <c r="C3" s="668"/>
      <c r="D3" s="668"/>
      <c r="E3" s="668"/>
      <c r="F3" s="668"/>
      <c r="G3" s="668"/>
      <c r="H3" s="668"/>
      <c r="I3" s="668"/>
      <c r="J3" s="668"/>
      <c r="K3" s="668"/>
      <c r="L3" s="668"/>
      <c r="M3" s="668"/>
      <c r="N3" s="668"/>
      <c r="O3" s="668"/>
      <c r="P3" s="668"/>
      <c r="Q3" s="668"/>
      <c r="R3" s="668"/>
      <c r="S3" s="668"/>
      <c r="T3" s="668"/>
      <c r="U3" s="668"/>
      <c r="V3" s="668"/>
      <c r="W3" s="668"/>
      <c r="X3" s="668"/>
    </row>
    <row r="4" spans="1:24" x14ac:dyDescent="0.25">
      <c r="A4" s="669" t="s">
        <v>2</v>
      </c>
      <c r="B4" s="668"/>
      <c r="C4" s="668"/>
      <c r="D4" s="668"/>
      <c r="E4" s="668"/>
      <c r="F4" s="668"/>
      <c r="G4" s="668"/>
      <c r="H4" s="668"/>
      <c r="I4" s="668"/>
      <c r="J4" s="668"/>
      <c r="K4" s="668"/>
      <c r="L4" s="668"/>
      <c r="M4" s="668"/>
      <c r="N4" s="668"/>
      <c r="O4" s="668"/>
      <c r="P4" s="668"/>
      <c r="Q4" s="668"/>
      <c r="R4" s="668"/>
      <c r="S4" s="668"/>
      <c r="T4" s="668"/>
      <c r="U4" s="668"/>
      <c r="V4" s="668"/>
      <c r="W4" s="668"/>
      <c r="X4" s="668"/>
    </row>
    <row r="5" spans="1:24" x14ac:dyDescent="0.25">
      <c r="A5" s="670" t="s">
        <v>3</v>
      </c>
      <c r="B5" s="668"/>
      <c r="C5" s="668"/>
      <c r="D5" s="668"/>
      <c r="E5" s="668"/>
      <c r="F5" s="668"/>
      <c r="G5" s="668"/>
      <c r="H5" s="668"/>
      <c r="I5" s="668"/>
      <c r="J5" s="668"/>
      <c r="K5" s="668"/>
      <c r="L5" s="668"/>
      <c r="M5" s="668"/>
      <c r="N5" s="668"/>
      <c r="O5" s="668"/>
      <c r="P5" s="668"/>
      <c r="Q5" s="668"/>
      <c r="R5" s="668"/>
      <c r="S5" s="668"/>
      <c r="T5" s="668"/>
      <c r="U5" s="668"/>
      <c r="V5" s="668"/>
      <c r="W5" s="668"/>
      <c r="X5" s="668"/>
    </row>
    <row r="6" spans="1:24" x14ac:dyDescent="0.25">
      <c r="A6" s="667" t="s">
        <v>180</v>
      </c>
      <c r="B6" s="668"/>
      <c r="C6" s="668"/>
      <c r="D6" s="668"/>
      <c r="E6" s="668"/>
      <c r="F6" s="668"/>
      <c r="G6" s="668"/>
      <c r="H6" s="668"/>
      <c r="I6" s="668"/>
      <c r="J6" s="668"/>
      <c r="K6" s="668"/>
      <c r="L6" s="668"/>
      <c r="M6" s="668"/>
      <c r="N6" s="668"/>
      <c r="O6" s="668"/>
      <c r="P6" s="668"/>
      <c r="Q6" s="668"/>
      <c r="R6" s="668"/>
      <c r="S6" s="668"/>
      <c r="T6" s="668"/>
      <c r="U6" s="668"/>
      <c r="V6" s="668"/>
      <c r="W6" s="668"/>
      <c r="X6" s="668"/>
    </row>
    <row r="7" spans="1:24" ht="18.75" x14ac:dyDescent="0.25">
      <c r="A7" s="1"/>
    </row>
    <row r="8" spans="1:24" x14ac:dyDescent="0.25">
      <c r="A8" s="644" t="s">
        <v>24</v>
      </c>
      <c r="B8" s="644" t="s">
        <v>4</v>
      </c>
      <c r="C8" s="39"/>
      <c r="D8" s="644" t="s">
        <v>33</v>
      </c>
      <c r="E8" s="644" t="s">
        <v>34</v>
      </c>
      <c r="F8" s="644" t="s">
        <v>36</v>
      </c>
      <c r="G8" s="644"/>
      <c r="H8" s="644"/>
      <c r="I8" s="644"/>
      <c r="J8" s="644"/>
      <c r="K8" s="644"/>
      <c r="L8" s="644"/>
      <c r="M8" s="644"/>
      <c r="N8" s="644"/>
      <c r="O8" s="644"/>
      <c r="P8" s="644"/>
      <c r="Q8" s="644"/>
      <c r="R8" s="644"/>
      <c r="S8" s="39"/>
      <c r="T8" s="644" t="s">
        <v>23</v>
      </c>
      <c r="U8" s="644"/>
      <c r="V8" s="644"/>
      <c r="W8" s="39"/>
      <c r="X8" s="644" t="s">
        <v>120</v>
      </c>
    </row>
    <row r="9" spans="1:24" x14ac:dyDescent="0.25">
      <c r="A9" s="644"/>
      <c r="B9" s="644"/>
      <c r="C9" s="39"/>
      <c r="D9" s="643"/>
      <c r="E9" s="643"/>
      <c r="F9" s="643"/>
      <c r="G9" s="643"/>
      <c r="H9" s="643"/>
      <c r="I9" s="643"/>
      <c r="J9" s="643"/>
      <c r="K9" s="643"/>
      <c r="L9" s="643"/>
      <c r="M9" s="643"/>
      <c r="N9" s="643"/>
      <c r="O9" s="643"/>
      <c r="P9" s="643"/>
      <c r="Q9" s="643"/>
      <c r="R9" s="643"/>
      <c r="S9" s="39"/>
      <c r="T9" s="36" t="s">
        <v>38</v>
      </c>
      <c r="U9" s="36" t="s">
        <v>122</v>
      </c>
      <c r="V9" s="36" t="s">
        <v>179</v>
      </c>
      <c r="W9" s="39"/>
      <c r="X9" s="644"/>
    </row>
    <row r="10" spans="1:24" x14ac:dyDescent="0.25">
      <c r="A10" s="39">
        <v>1</v>
      </c>
      <c r="B10" s="39">
        <v>2</v>
      </c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>
        <v>3</v>
      </c>
      <c r="U10" s="39">
        <v>4</v>
      </c>
      <c r="V10" s="39">
        <v>5</v>
      </c>
      <c r="W10" s="39"/>
      <c r="X10" s="7">
        <v>6</v>
      </c>
    </row>
    <row r="11" spans="1:24" ht="75" x14ac:dyDescent="0.25">
      <c r="A11" s="3">
        <v>1</v>
      </c>
      <c r="B11" s="4" t="s">
        <v>86</v>
      </c>
      <c r="C11" s="6"/>
      <c r="D11" s="45" t="s">
        <v>35</v>
      </c>
      <c r="E11" s="45" t="s">
        <v>35</v>
      </c>
      <c r="F11" s="659"/>
      <c r="G11" s="660"/>
      <c r="H11" s="660"/>
      <c r="I11" s="660"/>
      <c r="J11" s="660"/>
      <c r="K11" s="660"/>
      <c r="L11" s="660"/>
      <c r="M11" s="660"/>
      <c r="N11" s="660"/>
      <c r="O11" s="660"/>
      <c r="P11" s="660"/>
      <c r="Q11" s="660"/>
      <c r="R11" s="660"/>
      <c r="S11" s="660"/>
      <c r="T11" s="6">
        <f>SUM(T12,T25)</f>
        <v>3071500</v>
      </c>
      <c r="U11" s="6">
        <f>SUM(U12,U25)</f>
        <v>3189000</v>
      </c>
      <c r="V11" s="6">
        <f>SUM(V12,V25)</f>
        <v>3314200</v>
      </c>
      <c r="W11" s="6"/>
      <c r="X11" s="48" t="str">
        <f>"Нормативные "&amp;TEXT(B11,"0")&amp;" включают в себя:
нормативные "&amp;TEXT(B12,"0")&amp;";
нормативные "&amp;TEXT(B25,"0")&amp;""</f>
        <v>Нормативные затраты на информационно-коммуникационные технологии включают в себя:
нормативные затраты на приобретение прочих работ и услуг, не относящихся к затратам на услуги связи, аренду и содержание имущества;
нормативные затраты на приобретение материальных запасов в сфере информационно-коммуникационных технологий</v>
      </c>
    </row>
    <row r="12" spans="1:24" ht="60" x14ac:dyDescent="0.25">
      <c r="A12" s="39" t="s">
        <v>5</v>
      </c>
      <c r="B12" s="40" t="s">
        <v>87</v>
      </c>
      <c r="C12" s="47"/>
      <c r="D12" s="45" t="s">
        <v>35</v>
      </c>
      <c r="E12" s="45" t="s">
        <v>35</v>
      </c>
      <c r="F12" s="659"/>
      <c r="G12" s="660"/>
      <c r="H12" s="660"/>
      <c r="I12" s="660"/>
      <c r="J12" s="660"/>
      <c r="K12" s="660"/>
      <c r="L12" s="660"/>
      <c r="M12" s="660"/>
      <c r="N12" s="660"/>
      <c r="O12" s="660"/>
      <c r="P12" s="660"/>
      <c r="Q12" s="660"/>
      <c r="R12" s="660"/>
      <c r="S12" s="660"/>
      <c r="T12" s="47">
        <f>SUM(T13)</f>
        <v>1531500</v>
      </c>
      <c r="U12" s="47">
        <f t="shared" ref="U12:V13" si="0">SUM(U13)</f>
        <v>1591100</v>
      </c>
      <c r="V12" s="47">
        <f>SUM(V13)</f>
        <v>1656100</v>
      </c>
      <c r="W12" s="47"/>
      <c r="X12" s="48" t="str">
        <f>"Нормативные "&amp;TEXT(B12,"0")&amp;" включают в себя:
нормативные "&amp;TEXT(B13,"0")&amp;""</f>
        <v>Нормативные затраты на приобретение прочих работ и услуг, не относящихся к затратам на услуги связи, аренду и содержание имущества включают в себя:
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</v>
      </c>
    </row>
    <row r="13" spans="1:24" ht="60" x14ac:dyDescent="0.25">
      <c r="A13" s="39" t="s">
        <v>6</v>
      </c>
      <c r="B13" s="40" t="s">
        <v>88</v>
      </c>
      <c r="C13" s="47"/>
      <c r="D13" s="45" t="s">
        <v>35</v>
      </c>
      <c r="E13" s="45" t="s">
        <v>35</v>
      </c>
      <c r="F13" s="659"/>
      <c r="G13" s="660"/>
      <c r="H13" s="660"/>
      <c r="I13" s="660"/>
      <c r="J13" s="660"/>
      <c r="K13" s="660"/>
      <c r="L13" s="660"/>
      <c r="M13" s="660"/>
      <c r="N13" s="660"/>
      <c r="O13" s="660"/>
      <c r="P13" s="660"/>
      <c r="Q13" s="660"/>
      <c r="R13" s="660"/>
      <c r="S13" s="660"/>
      <c r="T13" s="47">
        <f>SUM(T14)</f>
        <v>1531500</v>
      </c>
      <c r="U13" s="47">
        <f t="shared" si="0"/>
        <v>1591100</v>
      </c>
      <c r="V13" s="47">
        <f t="shared" si="0"/>
        <v>1656100</v>
      </c>
      <c r="W13" s="47"/>
      <c r="X13" s="48" t="str">
        <f>"Нормативные "&amp;TEXT(B13,"0")&amp;" включают в себя:
нормативные "&amp;TEXT(B14,"0")&amp;""</f>
        <v>Нормативные 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 включают в себя:
нормативные затраты на оплату услуг по сопровождению и приобретению иного программного обеспечения</v>
      </c>
    </row>
    <row r="14" spans="1:24" ht="75" x14ac:dyDescent="0.25">
      <c r="A14" s="39" t="s">
        <v>27</v>
      </c>
      <c r="B14" s="40" t="s">
        <v>89</v>
      </c>
      <c r="C14" s="47"/>
      <c r="D14" s="45" t="s">
        <v>35</v>
      </c>
      <c r="E14" s="45" t="s">
        <v>35</v>
      </c>
      <c r="F14" s="659"/>
      <c r="G14" s="660"/>
      <c r="H14" s="660"/>
      <c r="I14" s="660"/>
      <c r="J14" s="660"/>
      <c r="K14" s="660"/>
      <c r="L14" s="660"/>
      <c r="M14" s="660"/>
      <c r="N14" s="660"/>
      <c r="O14" s="660"/>
      <c r="P14" s="660"/>
      <c r="Q14" s="660"/>
      <c r="R14" s="660"/>
      <c r="S14" s="660"/>
      <c r="T14" s="47">
        <f>SUM(T15,T20)</f>
        <v>1531500</v>
      </c>
      <c r="U14" s="47">
        <f>SUM(U15,U20)</f>
        <v>1591100</v>
      </c>
      <c r="V14" s="47">
        <f>SUM(V15,V20)</f>
        <v>1656100</v>
      </c>
      <c r="W14" s="47"/>
      <c r="X14" s="48" t="str">
        <f>"Нормативные "&amp;TEXT(B14,"0")&amp;" включают в себя:
нормативные "&amp;TEXT(B15,"0")&amp;";
нормативные "&amp;TEXT(B20,"0")&amp;""</f>
        <v>Нормативные затраты на оплату услуг по сопровождению и приобретению иного программного обеспечения включают в себя:
нормативные затраты на оплату услуг по сопровождению и обслуживанию программного комплекса "АРГОС-Налогоплательщик";
нормативные затраты на оплату услуг по сопровождению и приобретению иного программного обеспечения</v>
      </c>
    </row>
    <row r="15" spans="1:24" ht="165" collapsed="1" x14ac:dyDescent="0.25">
      <c r="A15" s="644" t="s">
        <v>28</v>
      </c>
      <c r="B15" s="645" t="s">
        <v>90</v>
      </c>
      <c r="C15" s="38"/>
      <c r="D15" s="642" t="s">
        <v>142</v>
      </c>
      <c r="E15" s="642">
        <v>242</v>
      </c>
      <c r="F15" s="639" t="s">
        <v>182</v>
      </c>
      <c r="G15" s="639"/>
      <c r="H15" s="639"/>
      <c r="I15" s="639"/>
      <c r="J15" s="639"/>
      <c r="K15" s="639"/>
      <c r="L15" s="639"/>
      <c r="M15" s="639"/>
      <c r="N15" s="639"/>
      <c r="O15" s="639"/>
      <c r="P15" s="639"/>
      <c r="Q15" s="639"/>
      <c r="R15" s="639"/>
      <c r="S15" s="13"/>
      <c r="T15" s="640">
        <f>M17</f>
        <v>475500</v>
      </c>
      <c r="U15" s="640">
        <f>O18</f>
        <v>494000</v>
      </c>
      <c r="V15" s="640">
        <f>Q19</f>
        <v>514200</v>
      </c>
      <c r="W15" s="38"/>
      <c r="X15" s="48" t="s">
        <v>175</v>
      </c>
    </row>
    <row r="16" spans="1:24" hidden="1" outlineLevel="1" x14ac:dyDescent="0.25">
      <c r="A16" s="643"/>
      <c r="B16" s="646"/>
      <c r="C16" s="38"/>
      <c r="D16" s="643"/>
      <c r="E16" s="641"/>
      <c r="F16" s="7" t="s">
        <v>183</v>
      </c>
      <c r="G16" s="44">
        <v>114</v>
      </c>
      <c r="H16" s="12" t="s">
        <v>62</v>
      </c>
      <c r="I16" s="44">
        <v>4</v>
      </c>
      <c r="J16" s="12" t="s">
        <v>121</v>
      </c>
      <c r="K16" s="44">
        <v>1002.85</v>
      </c>
      <c r="L16" s="12" t="s">
        <v>41</v>
      </c>
      <c r="M16" s="44">
        <f>ROUND((G16*I16*K16),2)</f>
        <v>457299.6</v>
      </c>
      <c r="N16" s="12" t="s">
        <v>37</v>
      </c>
      <c r="O16" s="12"/>
      <c r="P16" s="12"/>
      <c r="Q16" s="12"/>
      <c r="R16" s="13"/>
      <c r="S16" s="13"/>
      <c r="T16" s="640"/>
      <c r="U16" s="640"/>
      <c r="V16" s="640"/>
      <c r="W16" s="38"/>
      <c r="X16" s="48"/>
    </row>
    <row r="17" spans="1:24" x14ac:dyDescent="0.25">
      <c r="A17" s="643"/>
      <c r="B17" s="646"/>
      <c r="C17" s="38"/>
      <c r="D17" s="643"/>
      <c r="E17" s="641"/>
      <c r="F17" s="18" t="s">
        <v>138</v>
      </c>
      <c r="G17" s="44">
        <f>M16</f>
        <v>457299.6</v>
      </c>
      <c r="H17" s="13" t="s">
        <v>137</v>
      </c>
      <c r="I17" s="19">
        <f>1.0397</f>
        <v>1.0397000000000001</v>
      </c>
      <c r="J17" s="12" t="s">
        <v>25</v>
      </c>
      <c r="K17" s="44">
        <f>ROUND((G17*I17),2)</f>
        <v>475454.39</v>
      </c>
      <c r="L17" s="12" t="s">
        <v>41</v>
      </c>
      <c r="M17" s="14">
        <f>ROUNDUP((K17),-2)</f>
        <v>475500</v>
      </c>
      <c r="N17" s="15" t="s">
        <v>37</v>
      </c>
      <c r="O17" s="16"/>
      <c r="P17" s="16"/>
      <c r="Q17" s="16"/>
      <c r="R17" s="16"/>
      <c r="S17" s="13"/>
      <c r="T17" s="640"/>
      <c r="U17" s="640"/>
      <c r="V17" s="640"/>
      <c r="W17" s="38"/>
      <c r="X17" s="48" t="str">
        <f>""&amp;TEXT($G$16,"00,0")&amp;" пользователей х "&amp;TEXT($I$16,"0,0")&amp;" кв. х "&amp;TEXT(ROUND((K17/$G$16/$I$16),2),"000,00")&amp;" руб. = "&amp;TEXT(ROUND(($G$16*$I$16*(ROUND((K17/$G$16/$I$16),2))),2),"0 000,00")&amp;" руб. = "&amp;TEXT(M17,"0 000,00")&amp;" руб."</f>
        <v>114,0 пользователей х 4,0 кв. х 1042,66 руб. = 475 452,96 руб. = 475 500,00 руб.</v>
      </c>
    </row>
    <row r="18" spans="1:24" x14ac:dyDescent="0.25">
      <c r="A18" s="643"/>
      <c r="B18" s="646"/>
      <c r="C18" s="38"/>
      <c r="D18" s="643"/>
      <c r="E18" s="641"/>
      <c r="F18" s="18" t="s">
        <v>139</v>
      </c>
      <c r="G18" s="44">
        <f>G17</f>
        <v>457299.6</v>
      </c>
      <c r="H18" s="12" t="str">
        <f>H17</f>
        <v>руб. х индекс потребительских цен 2020 года</v>
      </c>
      <c r="I18" s="19">
        <f>$I$17</f>
        <v>1.0397000000000001</v>
      </c>
      <c r="J18" s="13" t="s">
        <v>136</v>
      </c>
      <c r="K18" s="19">
        <v>1.0388999999999999</v>
      </c>
      <c r="L18" s="12" t="s">
        <v>25</v>
      </c>
      <c r="M18" s="44">
        <f>ROUND((G18*I18*K18),2)</f>
        <v>493949.57</v>
      </c>
      <c r="N18" s="12" t="s">
        <v>41</v>
      </c>
      <c r="O18" s="14">
        <f>ROUNDUP((M18),-2)</f>
        <v>494000</v>
      </c>
      <c r="P18" s="15" t="s">
        <v>37</v>
      </c>
      <c r="Q18" s="16"/>
      <c r="R18" s="16"/>
      <c r="S18" s="13"/>
      <c r="T18" s="640"/>
      <c r="U18" s="640"/>
      <c r="V18" s="640"/>
      <c r="W18" s="38"/>
      <c r="X18" s="48" t="str">
        <f>""&amp;TEXT($G$16,"00,0")&amp;" пользователей х "&amp;TEXT($I$16,"0,0")&amp;" кв. х "&amp;TEXT(ROUND((M18/$G$16/$I$16),2),"000,00")&amp;" руб. = "&amp;TEXT(ROUND(($G$16*$I$16*(ROUND((M18/$G$16/$I$16),2))),2),"0 000,00")&amp;" руб. = "&amp;TEXT(O18,"0 000,00")&amp;" руб."</f>
        <v>114,0 пользователей х 4,0 кв. х 1083,22 руб. = 493 948,32 руб. = 494 000,00 руб.</v>
      </c>
    </row>
    <row r="19" spans="1:24" x14ac:dyDescent="0.25">
      <c r="A19" s="643"/>
      <c r="B19" s="646"/>
      <c r="C19" s="38"/>
      <c r="D19" s="643"/>
      <c r="E19" s="641"/>
      <c r="F19" s="18" t="s">
        <v>140</v>
      </c>
      <c r="G19" s="44">
        <f>G18</f>
        <v>457299.6</v>
      </c>
      <c r="H19" s="12" t="str">
        <f>H17</f>
        <v>руб. х индекс потребительских цен 2020 года</v>
      </c>
      <c r="I19" s="19">
        <f>$I$17</f>
        <v>1.0397000000000001</v>
      </c>
      <c r="J19" s="12" t="str">
        <f>J18</f>
        <v>х индекс потребительских цен 2021 года</v>
      </c>
      <c r="K19" s="19">
        <f>$K$18</f>
        <v>1.0388999999999999</v>
      </c>
      <c r="L19" s="13" t="s">
        <v>135</v>
      </c>
      <c r="M19" s="19">
        <v>1.0407999999999999</v>
      </c>
      <c r="N19" s="12" t="s">
        <v>25</v>
      </c>
      <c r="O19" s="44">
        <f>ROUND((G19*I19*K19*M19),2)</f>
        <v>514102.71</v>
      </c>
      <c r="P19" s="12" t="s">
        <v>41</v>
      </c>
      <c r="Q19" s="14">
        <f>ROUNDUP((O19),-2)</f>
        <v>514200</v>
      </c>
      <c r="R19" s="15" t="s">
        <v>37</v>
      </c>
      <c r="S19" s="13"/>
      <c r="T19" s="641"/>
      <c r="U19" s="641"/>
      <c r="V19" s="641"/>
      <c r="W19" s="38"/>
      <c r="X19" s="48" t="str">
        <f>""&amp;TEXT($G$16,"00,0")&amp;" пользователей х "&amp;TEXT($I$16,"0,0")&amp;" кв. х "&amp;TEXT(ROUND((O19/$G$16/$I$16),2),"000,00")&amp;" руб. = "&amp;TEXT(ROUND(($G$16*$I$16*(ROUND((O19/$G$16/$I$16),2))),2),"0 000,00")&amp;" руб. = "&amp;TEXT(Q19,"0 000,00")&amp;" руб."</f>
        <v>114,0 пользователей х 4,0 кв. х 1127,42 руб. = 514 103,52 руб. = 514 200,00 руб.</v>
      </c>
    </row>
    <row r="20" spans="1:24" ht="120" collapsed="1" x14ac:dyDescent="0.25">
      <c r="A20" s="644" t="s">
        <v>29</v>
      </c>
      <c r="B20" s="645" t="s">
        <v>89</v>
      </c>
      <c r="C20" s="38"/>
      <c r="D20" s="642" t="s">
        <v>143</v>
      </c>
      <c r="E20" s="642">
        <v>242</v>
      </c>
      <c r="F20" s="639" t="s">
        <v>141</v>
      </c>
      <c r="G20" s="639"/>
      <c r="H20" s="639"/>
      <c r="I20" s="639"/>
      <c r="J20" s="639"/>
      <c r="K20" s="639"/>
      <c r="L20" s="639"/>
      <c r="M20" s="639"/>
      <c r="N20" s="639"/>
      <c r="O20" s="639"/>
      <c r="P20" s="639"/>
      <c r="Q20" s="639"/>
      <c r="R20" s="639"/>
      <c r="S20" s="44"/>
      <c r="T20" s="640">
        <f>M22</f>
        <v>1056000</v>
      </c>
      <c r="U20" s="640">
        <f>O23</f>
        <v>1097100</v>
      </c>
      <c r="V20" s="640">
        <f>Q24</f>
        <v>1141900</v>
      </c>
      <c r="W20" s="11"/>
      <c r="X20" s="48" t="s">
        <v>65</v>
      </c>
    </row>
    <row r="21" spans="1:24" hidden="1" outlineLevel="1" x14ac:dyDescent="0.25">
      <c r="A21" s="643"/>
      <c r="B21" s="646"/>
      <c r="C21" s="38"/>
      <c r="D21" s="643"/>
      <c r="E21" s="641"/>
      <c r="F21" s="7" t="s">
        <v>144</v>
      </c>
      <c r="G21" s="44">
        <v>480</v>
      </c>
      <c r="H21" s="12" t="s">
        <v>64</v>
      </c>
      <c r="I21" s="44">
        <v>2200</v>
      </c>
      <c r="J21" s="12" t="s">
        <v>41</v>
      </c>
      <c r="K21" s="44">
        <f>ROUND((G21*I21),2)</f>
        <v>1056000</v>
      </c>
      <c r="L21" s="12" t="s">
        <v>37</v>
      </c>
      <c r="M21" s="12"/>
      <c r="N21" s="12"/>
      <c r="O21" s="12"/>
      <c r="P21" s="12"/>
      <c r="Q21" s="12"/>
      <c r="R21" s="13"/>
      <c r="S21" s="13"/>
      <c r="T21" s="640"/>
      <c r="U21" s="640"/>
      <c r="V21" s="640"/>
      <c r="W21" s="38"/>
      <c r="X21" s="48"/>
    </row>
    <row r="22" spans="1:24" x14ac:dyDescent="0.25">
      <c r="A22" s="643"/>
      <c r="B22" s="646"/>
      <c r="C22" s="38"/>
      <c r="D22" s="643"/>
      <c r="E22" s="641"/>
      <c r="F22" s="18" t="s">
        <v>138</v>
      </c>
      <c r="G22" s="44">
        <f>K21</f>
        <v>1056000</v>
      </c>
      <c r="H22" s="13" t="s">
        <v>137</v>
      </c>
      <c r="I22" s="19">
        <f>1.0397-1.0397+1</f>
        <v>1</v>
      </c>
      <c r="J22" s="12" t="s">
        <v>25</v>
      </c>
      <c r="K22" s="44">
        <f>ROUND((G22*I22),2)</f>
        <v>1056000</v>
      </c>
      <c r="L22" s="12" t="s">
        <v>41</v>
      </c>
      <c r="M22" s="14">
        <f>ROUNDUP((K22),-2)</f>
        <v>1056000</v>
      </c>
      <c r="N22" s="15" t="s">
        <v>37</v>
      </c>
      <c r="O22" s="16"/>
      <c r="P22" s="16"/>
      <c r="Q22" s="16"/>
      <c r="R22" s="16"/>
      <c r="S22" s="13"/>
      <c r="T22" s="640"/>
      <c r="U22" s="640"/>
      <c r="V22" s="640"/>
      <c r="W22" s="38"/>
      <c r="X22" s="48" t="str">
        <f>""&amp;TEXT($G$21,"000,0")&amp;" часов х "&amp;TEXT(ROUND((K22/$G$21),2),"0 000,00")&amp;" руб. = "&amp;TEXT(ROUND(($G$21*(ROUND((K22/$G$21),2))),2),"0 000,00")&amp;" руб. = "&amp;TEXT(M22,"0 000,00")&amp;" руб."</f>
        <v>480,0 часов х 2 200,00 руб. = 1 056 000,00 руб. = 1 056 000,00 руб.</v>
      </c>
    </row>
    <row r="23" spans="1:24" x14ac:dyDescent="0.25">
      <c r="A23" s="643"/>
      <c r="B23" s="646"/>
      <c r="C23" s="38"/>
      <c r="D23" s="643"/>
      <c r="E23" s="641"/>
      <c r="F23" s="18" t="s">
        <v>139</v>
      </c>
      <c r="G23" s="44">
        <f>G22</f>
        <v>1056000</v>
      </c>
      <c r="H23" s="12" t="str">
        <f>H22</f>
        <v>руб. х индекс потребительских цен 2020 года</v>
      </c>
      <c r="I23" s="19">
        <f>$I$22</f>
        <v>1</v>
      </c>
      <c r="J23" s="13" t="s">
        <v>136</v>
      </c>
      <c r="K23" s="19">
        <v>1.0388999999999999</v>
      </c>
      <c r="L23" s="12" t="s">
        <v>25</v>
      </c>
      <c r="M23" s="44">
        <f>ROUND((G23*I23*K23),2)</f>
        <v>1097078.3999999999</v>
      </c>
      <c r="N23" s="12" t="s">
        <v>41</v>
      </c>
      <c r="O23" s="14">
        <f>ROUNDUP((M23),-2)</f>
        <v>1097100</v>
      </c>
      <c r="P23" s="15" t="s">
        <v>37</v>
      </c>
      <c r="Q23" s="16"/>
      <c r="R23" s="16"/>
      <c r="S23" s="13"/>
      <c r="T23" s="640"/>
      <c r="U23" s="640"/>
      <c r="V23" s="640"/>
      <c r="W23" s="38"/>
      <c r="X23" s="48" t="str">
        <f>""&amp;TEXT($G$21,"000,0")&amp;" часов х "&amp;TEXT(ROUND((M23/$G$21),2),"0 000,00")&amp;" руб. = "&amp;TEXT(ROUND(($G$21*(ROUND((M23/$G$21),2))),2),"0 000,00")&amp;" руб. = "&amp;TEXT(O23,"0 000,00")&amp;" руб."</f>
        <v>480,0 часов х 2 285,58 руб. = 1 097 078,40 руб. = 1 097 100,00 руб.</v>
      </c>
    </row>
    <row r="24" spans="1:24" x14ac:dyDescent="0.25">
      <c r="A24" s="643"/>
      <c r="B24" s="646"/>
      <c r="C24" s="38"/>
      <c r="D24" s="643"/>
      <c r="E24" s="641"/>
      <c r="F24" s="18" t="s">
        <v>140</v>
      </c>
      <c r="G24" s="44">
        <f>G23</f>
        <v>1056000</v>
      </c>
      <c r="H24" s="12" t="str">
        <f>H22</f>
        <v>руб. х индекс потребительских цен 2020 года</v>
      </c>
      <c r="I24" s="19">
        <f>$I$22</f>
        <v>1</v>
      </c>
      <c r="J24" s="12" t="str">
        <f>J23</f>
        <v>х индекс потребительских цен 2021 года</v>
      </c>
      <c r="K24" s="19">
        <f>$K$23</f>
        <v>1.0388999999999999</v>
      </c>
      <c r="L24" s="13" t="s">
        <v>135</v>
      </c>
      <c r="M24" s="19">
        <v>1.0407999999999999</v>
      </c>
      <c r="N24" s="12" t="s">
        <v>25</v>
      </c>
      <c r="O24" s="44">
        <f>ROUND((G24*I24*K24*M24),2)</f>
        <v>1141839.2</v>
      </c>
      <c r="P24" s="12" t="s">
        <v>41</v>
      </c>
      <c r="Q24" s="14">
        <f>ROUNDUP((O24),-2)</f>
        <v>1141900</v>
      </c>
      <c r="R24" s="15" t="s">
        <v>37</v>
      </c>
      <c r="S24" s="13"/>
      <c r="T24" s="641"/>
      <c r="U24" s="641"/>
      <c r="V24" s="641"/>
      <c r="W24" s="38"/>
      <c r="X24" s="48" t="str">
        <f>""&amp;TEXT($G$21,"000,0")&amp;" часов х "&amp;TEXT(ROUND((O24/$G$21),2),"0 000,00")&amp;" руб. = "&amp;TEXT(ROUND(($G$21*(ROUND((O24/$G$21),2))),2),"0 000,00")&amp;" руб. = "&amp;TEXT(Q24,"0 000,00")&amp;" руб."</f>
        <v>480,0 часов х 2 378,83 руб. = 1 141 838,40 руб. = 1 141 900,00 руб.</v>
      </c>
    </row>
    <row r="25" spans="1:24" ht="75" x14ac:dyDescent="0.25">
      <c r="A25" s="39" t="s">
        <v>7</v>
      </c>
      <c r="B25" s="40" t="s">
        <v>92</v>
      </c>
      <c r="C25" s="47"/>
      <c r="D25" s="45" t="s">
        <v>35</v>
      </c>
      <c r="E25" s="45" t="s">
        <v>35</v>
      </c>
      <c r="F25" s="659"/>
      <c r="G25" s="660"/>
      <c r="H25" s="660"/>
      <c r="I25" s="660"/>
      <c r="J25" s="660"/>
      <c r="K25" s="660"/>
      <c r="L25" s="660"/>
      <c r="M25" s="660"/>
      <c r="N25" s="660"/>
      <c r="O25" s="660"/>
      <c r="P25" s="660"/>
      <c r="Q25" s="660"/>
      <c r="R25" s="660"/>
      <c r="S25" s="660"/>
      <c r="T25" s="47">
        <f>SUM(T26,T30)</f>
        <v>1540000</v>
      </c>
      <c r="U25" s="47">
        <f>SUM(U26,U30)</f>
        <v>1597900</v>
      </c>
      <c r="V25" s="47">
        <f>SUM(V26,V30)</f>
        <v>1658100</v>
      </c>
      <c r="W25" s="47"/>
      <c r="X25" s="48" t="str">
        <f>"Нормативные "&amp;TEXT(B25,"0")&amp;" включают в себя:
нормативные "&amp;TEXT(B26,"0")&amp;";
нормативные "&amp;TEXT(B30,"0")&amp;""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26" spans="1:24" ht="75" x14ac:dyDescent="0.25">
      <c r="A26" s="644" t="s">
        <v>8</v>
      </c>
      <c r="B26" s="645" t="s">
        <v>91</v>
      </c>
      <c r="C26" s="47"/>
      <c r="D26" s="642">
        <v>346</v>
      </c>
      <c r="E26" s="642">
        <v>242</v>
      </c>
      <c r="F26" s="639" t="s">
        <v>152</v>
      </c>
      <c r="G26" s="639"/>
      <c r="H26" s="639"/>
      <c r="I26" s="639"/>
      <c r="J26" s="639"/>
      <c r="K26" s="639"/>
      <c r="L26" s="639"/>
      <c r="M26" s="639"/>
      <c r="N26" s="639"/>
      <c r="O26" s="639"/>
      <c r="P26" s="639"/>
      <c r="Q26" s="639"/>
      <c r="R26" s="639"/>
      <c r="S26" s="13"/>
      <c r="T26" s="640">
        <f>M27</f>
        <v>93400</v>
      </c>
      <c r="U26" s="640">
        <f>M28</f>
        <v>93400</v>
      </c>
      <c r="V26" s="640">
        <f>M29</f>
        <v>93400</v>
      </c>
      <c r="W26" s="47"/>
      <c r="X26" s="48" t="s">
        <v>39</v>
      </c>
    </row>
    <row r="27" spans="1:24" x14ac:dyDescent="0.25">
      <c r="A27" s="644"/>
      <c r="B27" s="646"/>
      <c r="C27" s="47"/>
      <c r="D27" s="643"/>
      <c r="E27" s="643"/>
      <c r="F27" s="18" t="s">
        <v>149</v>
      </c>
      <c r="G27" s="44">
        <v>1</v>
      </c>
      <c r="H27" s="12" t="s">
        <v>40</v>
      </c>
      <c r="I27" s="44">
        <v>9339179.2400000002</v>
      </c>
      <c r="J27" s="12" t="s">
        <v>41</v>
      </c>
      <c r="K27" s="44">
        <f>ROUND((G27%*I27),2)</f>
        <v>93391.79</v>
      </c>
      <c r="L27" s="12" t="s">
        <v>41</v>
      </c>
      <c r="M27" s="14">
        <f>ROUNDUP((K27),-2)</f>
        <v>93400</v>
      </c>
      <c r="N27" s="15" t="s">
        <v>37</v>
      </c>
      <c r="O27" s="7"/>
      <c r="P27" s="7"/>
      <c r="Q27" s="7"/>
      <c r="R27" s="7"/>
      <c r="S27" s="13"/>
      <c r="T27" s="640"/>
      <c r="U27" s="640"/>
      <c r="V27" s="640"/>
      <c r="W27" s="47"/>
      <c r="X27" s="48" t="str">
        <f>"норматив "&amp;TEXT(G27,"0,0")&amp;" % х "&amp;TEXT(I27,"0 000,00")&amp;" руб. = "&amp;TEXT(K27,"0 000,00")&amp;" руб. = "&amp;TEXT(M27,"0 000,00")&amp;" руб."</f>
        <v>норматив 1,0 % х 9 339 179,24 руб. = 93 391,79 руб. = 93 400,00 руб.</v>
      </c>
    </row>
    <row r="28" spans="1:24" x14ac:dyDescent="0.25">
      <c r="A28" s="644"/>
      <c r="B28" s="646"/>
      <c r="C28" s="47"/>
      <c r="D28" s="643"/>
      <c r="E28" s="643"/>
      <c r="F28" s="18" t="s">
        <v>150</v>
      </c>
      <c r="G28" s="44">
        <v>1</v>
      </c>
      <c r="H28" s="12" t="s">
        <v>40</v>
      </c>
      <c r="I28" s="44">
        <f>I27</f>
        <v>9339179.2400000002</v>
      </c>
      <c r="J28" s="12" t="s">
        <v>41</v>
      </c>
      <c r="K28" s="44">
        <f>ROUND((G28%*I28),2)</f>
        <v>93391.79</v>
      </c>
      <c r="L28" s="12" t="s">
        <v>41</v>
      </c>
      <c r="M28" s="14">
        <f t="shared" ref="M28:M29" si="1">ROUNDUP((K28),-2)</f>
        <v>93400</v>
      </c>
      <c r="N28" s="15" t="s">
        <v>37</v>
      </c>
      <c r="O28" s="7"/>
      <c r="P28" s="7"/>
      <c r="Q28" s="7"/>
      <c r="R28" s="7"/>
      <c r="S28" s="13"/>
      <c r="T28" s="640"/>
      <c r="U28" s="640"/>
      <c r="V28" s="640"/>
      <c r="W28" s="47"/>
      <c r="X28" s="48" t="str">
        <f>"норматив "&amp;TEXT(G28,"0,0")&amp;" % х "&amp;TEXT(I28,"0 000,00")&amp;" руб. = "&amp;TEXT(K28,"0 000,00")&amp;" руб. = "&amp;TEXT(M28,"0 000,00")&amp;" руб."</f>
        <v>норматив 1,0 % х 9 339 179,24 руб. = 93 391,79 руб. = 93 400,00 руб.</v>
      </c>
    </row>
    <row r="29" spans="1:24" x14ac:dyDescent="0.25">
      <c r="A29" s="644"/>
      <c r="B29" s="646"/>
      <c r="C29" s="47"/>
      <c r="D29" s="643"/>
      <c r="E29" s="643"/>
      <c r="F29" s="18" t="s">
        <v>151</v>
      </c>
      <c r="G29" s="44">
        <v>1</v>
      </c>
      <c r="H29" s="12" t="s">
        <v>40</v>
      </c>
      <c r="I29" s="44">
        <f>I27</f>
        <v>9339179.2400000002</v>
      </c>
      <c r="J29" s="12" t="s">
        <v>41</v>
      </c>
      <c r="K29" s="44">
        <f>ROUND((G29%*I29),2)</f>
        <v>93391.79</v>
      </c>
      <c r="L29" s="12" t="s">
        <v>41</v>
      </c>
      <c r="M29" s="14">
        <f t="shared" si="1"/>
        <v>93400</v>
      </c>
      <c r="N29" s="15" t="s">
        <v>37</v>
      </c>
      <c r="O29" s="7"/>
      <c r="P29" s="7"/>
      <c r="Q29" s="7"/>
      <c r="R29" s="7"/>
      <c r="S29" s="13"/>
      <c r="T29" s="640"/>
      <c r="U29" s="640"/>
      <c r="V29" s="640"/>
      <c r="W29" s="47"/>
      <c r="X29" s="48" t="str">
        <f>"норматив "&amp;TEXT(G29,"0,0")&amp;" % х "&amp;TEXT(I29,"0 000,00")&amp;" руб. = "&amp;TEXT(K29,"0 000,00")&amp;" руб. = "&amp;TEXT(M29,"0 000,00")&amp;" руб."</f>
        <v>норматив 1,0 % х 9 339 179,24 руб. = 93 391,79 руб. = 93 400,00 руб.</v>
      </c>
    </row>
    <row r="30" spans="1:24" ht="150" x14ac:dyDescent="0.25">
      <c r="A30" s="644" t="s">
        <v>32</v>
      </c>
      <c r="B30" s="645" t="s">
        <v>123</v>
      </c>
      <c r="C30" s="38"/>
      <c r="D30" s="642">
        <v>346</v>
      </c>
      <c r="E30" s="642">
        <v>242</v>
      </c>
      <c r="F30" s="639" t="s">
        <v>47</v>
      </c>
      <c r="G30" s="639"/>
      <c r="H30" s="639"/>
      <c r="I30" s="639"/>
      <c r="J30" s="639"/>
      <c r="K30" s="639"/>
      <c r="L30" s="639"/>
      <c r="M30" s="639"/>
      <c r="N30" s="639"/>
      <c r="O30" s="639"/>
      <c r="P30" s="639"/>
      <c r="Q30" s="639"/>
      <c r="R30" s="639"/>
      <c r="S30" s="13"/>
      <c r="T30" s="640">
        <f>M32</f>
        <v>1446600</v>
      </c>
      <c r="U30" s="640">
        <f>M34</f>
        <v>1504500</v>
      </c>
      <c r="V30" s="640">
        <f>M36</f>
        <v>1564700</v>
      </c>
      <c r="W30" s="38"/>
      <c r="X30" s="48" t="s">
        <v>46</v>
      </c>
    </row>
    <row r="31" spans="1:24" x14ac:dyDescent="0.25">
      <c r="A31" s="644"/>
      <c r="B31" s="646"/>
      <c r="C31" s="38"/>
      <c r="D31" s="643"/>
      <c r="E31" s="643"/>
      <c r="F31" s="18" t="s">
        <v>154</v>
      </c>
      <c r="G31" s="44">
        <v>22639</v>
      </c>
      <c r="H31" s="12" t="s">
        <v>42</v>
      </c>
      <c r="I31" s="44">
        <v>213</v>
      </c>
      <c r="J31" s="12" t="s">
        <v>45</v>
      </c>
      <c r="K31" s="44">
        <v>5</v>
      </c>
      <c r="L31" s="12" t="s">
        <v>43</v>
      </c>
      <c r="M31" s="44">
        <v>0</v>
      </c>
      <c r="N31" s="12" t="s">
        <v>44</v>
      </c>
      <c r="O31" s="44">
        <f>ROUND((G31*(I31/K31+M31)),2)</f>
        <v>964421.4</v>
      </c>
      <c r="P31" s="12" t="s">
        <v>37</v>
      </c>
      <c r="Q31" s="12"/>
      <c r="R31" s="13"/>
      <c r="S31" s="13"/>
      <c r="T31" s="640"/>
      <c r="U31" s="640"/>
      <c r="V31" s="640"/>
      <c r="W31" s="38"/>
      <c r="X31" s="664" t="str">
        <f>"норматив "&amp;TEXT(G32,"0,0")&amp;" % х (норматив "&amp;TEXT(G31,"0 000,00")&amp;" руб. х ("&amp;TEXT(I31,"000,00")&amp;" шт.ед. : срок "&amp;TEXT(K31,"0")&amp;" лет + "&amp;TEXT(M31,"0,00")&amp;" шт.ед.) = "&amp;TEXT(O31,"0 000,00")&amp;" руб.) = "&amp;TEXT(K32,"0 000,00")&amp;" руб. = "&amp;TEXT(M32,"0 000,00")&amp;" руб."</f>
        <v>норматив 150,0 % х (норматив 22 639,00 руб. х (213,00 шт.ед. : срок 5 лет + 0,00 шт.ед.) = 964 421,40 руб.) = 1 446 632,10 руб. = 1 446 600,00 руб.</v>
      </c>
    </row>
    <row r="32" spans="1:24" x14ac:dyDescent="0.25">
      <c r="A32" s="644"/>
      <c r="B32" s="646"/>
      <c r="C32" s="38"/>
      <c r="D32" s="643"/>
      <c r="E32" s="643"/>
      <c r="F32" s="18" t="s">
        <v>153</v>
      </c>
      <c r="G32" s="44">
        <v>150</v>
      </c>
      <c r="H32" s="12" t="s">
        <v>40</v>
      </c>
      <c r="I32" s="44">
        <f>O31</f>
        <v>964421.4</v>
      </c>
      <c r="J32" s="12" t="s">
        <v>41</v>
      </c>
      <c r="K32" s="44">
        <f>ROUND((G32%*I32),2)</f>
        <v>1446632.1</v>
      </c>
      <c r="L32" s="12" t="s">
        <v>41</v>
      </c>
      <c r="M32" s="14">
        <f>ROUNDDOWN((K32),-2)</f>
        <v>1446600</v>
      </c>
      <c r="N32" s="15" t="s">
        <v>37</v>
      </c>
      <c r="O32" s="7"/>
      <c r="P32" s="7"/>
      <c r="Q32" s="7"/>
      <c r="R32" s="7"/>
      <c r="S32" s="13"/>
      <c r="T32" s="640"/>
      <c r="U32" s="640"/>
      <c r="V32" s="640"/>
      <c r="W32" s="38"/>
      <c r="X32" s="646"/>
    </row>
    <row r="33" spans="1:24" x14ac:dyDescent="0.25">
      <c r="A33" s="644"/>
      <c r="B33" s="646"/>
      <c r="C33" s="38"/>
      <c r="D33" s="643"/>
      <c r="E33" s="643"/>
      <c r="F33" s="18" t="s">
        <v>155</v>
      </c>
      <c r="G33" s="44">
        <v>23545</v>
      </c>
      <c r="H33" s="12" t="s">
        <v>42</v>
      </c>
      <c r="I33" s="44">
        <v>213</v>
      </c>
      <c r="J33" s="12" t="s">
        <v>45</v>
      </c>
      <c r="K33" s="44">
        <v>5</v>
      </c>
      <c r="L33" s="12" t="s">
        <v>43</v>
      </c>
      <c r="M33" s="44">
        <v>0</v>
      </c>
      <c r="N33" s="12" t="s">
        <v>44</v>
      </c>
      <c r="O33" s="44">
        <f>ROUND((G33*(I33/K33+M33)),2)</f>
        <v>1003017</v>
      </c>
      <c r="P33" s="12" t="s">
        <v>37</v>
      </c>
      <c r="Q33" s="12"/>
      <c r="R33" s="13"/>
      <c r="S33" s="13"/>
      <c r="T33" s="640"/>
      <c r="U33" s="640"/>
      <c r="V33" s="640"/>
      <c r="W33" s="38"/>
      <c r="X33" s="664" t="str">
        <f>"норматив "&amp;TEXT(G34,"0,0")&amp;" % х (норматив "&amp;TEXT(G33,"0 000,00")&amp;" руб. х ("&amp;TEXT(I33,"000,00")&amp;" шт.ед. : срок "&amp;TEXT(K33,"0")&amp;" лет + "&amp;TEXT(M33,"0,00")&amp;" шт.ед.) = "&amp;TEXT(O33,"0 000,00")&amp;" руб.) = "&amp;TEXT(K34,"0 000,00")&amp;" руб. = "&amp;TEXT(M34,"0 000,00")&amp;" руб."</f>
        <v>норматив 150,0 % х (норматив 23 545,00 руб. х (213,00 шт.ед. : срок 5 лет + 0,00 шт.ед.) = 1 003 017,00 руб.) = 1 504 525,50 руб. = 1 504 500,00 руб.</v>
      </c>
    </row>
    <row r="34" spans="1:24" x14ac:dyDescent="0.25">
      <c r="A34" s="644"/>
      <c r="B34" s="646"/>
      <c r="C34" s="38"/>
      <c r="D34" s="643"/>
      <c r="E34" s="643"/>
      <c r="F34" s="18" t="s">
        <v>150</v>
      </c>
      <c r="G34" s="44">
        <v>150</v>
      </c>
      <c r="H34" s="12" t="s">
        <v>40</v>
      </c>
      <c r="I34" s="44">
        <f>O33</f>
        <v>1003017</v>
      </c>
      <c r="J34" s="12" t="s">
        <v>41</v>
      </c>
      <c r="K34" s="44">
        <f>ROUND((G34%*I34),2)</f>
        <v>1504525.5</v>
      </c>
      <c r="L34" s="12" t="s">
        <v>41</v>
      </c>
      <c r="M34" s="14">
        <f>ROUNDDOWN((K34),-2)</f>
        <v>1504500</v>
      </c>
      <c r="N34" s="15" t="s">
        <v>37</v>
      </c>
      <c r="O34" s="7"/>
      <c r="P34" s="7"/>
      <c r="Q34" s="7"/>
      <c r="R34" s="7"/>
      <c r="S34" s="13"/>
      <c r="T34" s="643"/>
      <c r="U34" s="643"/>
      <c r="V34" s="643"/>
      <c r="W34" s="38"/>
      <c r="X34" s="646"/>
    </row>
    <row r="35" spans="1:24" x14ac:dyDescent="0.25">
      <c r="A35" s="644"/>
      <c r="B35" s="646"/>
      <c r="C35" s="38"/>
      <c r="D35" s="643"/>
      <c r="E35" s="643"/>
      <c r="F35" s="18" t="s">
        <v>156</v>
      </c>
      <c r="G35" s="44">
        <v>24487</v>
      </c>
      <c r="H35" s="12" t="s">
        <v>42</v>
      </c>
      <c r="I35" s="44">
        <v>213</v>
      </c>
      <c r="J35" s="12" t="s">
        <v>45</v>
      </c>
      <c r="K35" s="44">
        <v>5</v>
      </c>
      <c r="L35" s="12" t="s">
        <v>43</v>
      </c>
      <c r="M35" s="44">
        <v>0</v>
      </c>
      <c r="N35" s="12" t="s">
        <v>44</v>
      </c>
      <c r="O35" s="44">
        <f>ROUND((G35*(I35/K35+M35)),2)</f>
        <v>1043146.2</v>
      </c>
      <c r="P35" s="12" t="s">
        <v>37</v>
      </c>
      <c r="Q35" s="12"/>
      <c r="R35" s="13"/>
      <c r="S35" s="7"/>
      <c r="T35" s="643"/>
      <c r="U35" s="643"/>
      <c r="V35" s="643"/>
      <c r="W35" s="38"/>
      <c r="X35" s="664" t="str">
        <f>"норматив "&amp;TEXT(G36,"0,0")&amp;" % х (норматив "&amp;TEXT(G35,"0 000,00")&amp;" руб. х ("&amp;TEXT(I35,"000,00")&amp;" шт.ед. : срок "&amp;TEXT(K35,"0")&amp;" лет + "&amp;TEXT(M35,"0,00")&amp;" шт.ед.) = "&amp;TEXT(O35,"0 000,00")&amp;" руб.) = "&amp;TEXT(K36,"0 000,00")&amp;" руб. = "&amp;TEXT(M36,"0 000,00")&amp;" руб."</f>
        <v>норматив 150,0 % х (норматив 24 487,00 руб. х (213,00 шт.ед. : срок 5 лет + 0,00 шт.ед.) = 1 043 146,20 руб.) = 1 564 719,30 руб. = 1 564 700,00 руб.</v>
      </c>
    </row>
    <row r="36" spans="1:24" x14ac:dyDescent="0.25">
      <c r="A36" s="644"/>
      <c r="B36" s="646"/>
      <c r="C36" s="47"/>
      <c r="D36" s="643"/>
      <c r="E36" s="643"/>
      <c r="F36" s="18" t="s">
        <v>151</v>
      </c>
      <c r="G36" s="44">
        <v>150</v>
      </c>
      <c r="H36" s="12" t="s">
        <v>40</v>
      </c>
      <c r="I36" s="44">
        <f>O35</f>
        <v>1043146.2</v>
      </c>
      <c r="J36" s="12" t="s">
        <v>41</v>
      </c>
      <c r="K36" s="44">
        <f>ROUND((G36%*I36),2)</f>
        <v>1564719.3</v>
      </c>
      <c r="L36" s="12" t="s">
        <v>41</v>
      </c>
      <c r="M36" s="14">
        <f>ROUNDDOWN((K36),-2)</f>
        <v>1564700</v>
      </c>
      <c r="N36" s="15" t="s">
        <v>37</v>
      </c>
      <c r="O36" s="7"/>
      <c r="P36" s="7"/>
      <c r="Q36" s="7"/>
      <c r="R36" s="7"/>
      <c r="S36" s="13"/>
      <c r="T36" s="643"/>
      <c r="U36" s="643"/>
      <c r="V36" s="643"/>
      <c r="W36" s="47"/>
      <c r="X36" s="646"/>
    </row>
    <row r="37" spans="1:24" ht="195" x14ac:dyDescent="0.25">
      <c r="A37" s="3">
        <v>2</v>
      </c>
      <c r="B37" s="4" t="s">
        <v>118</v>
      </c>
      <c r="C37" s="6"/>
      <c r="D37" s="45" t="s">
        <v>35</v>
      </c>
      <c r="E37" s="45" t="s">
        <v>35</v>
      </c>
      <c r="F37" s="666"/>
      <c r="G37" s="660"/>
      <c r="H37" s="660"/>
      <c r="I37" s="660"/>
      <c r="J37" s="660"/>
      <c r="K37" s="660"/>
      <c r="L37" s="660"/>
      <c r="M37" s="660"/>
      <c r="N37" s="660"/>
      <c r="O37" s="660"/>
      <c r="P37" s="660"/>
      <c r="Q37" s="660"/>
      <c r="R37" s="660"/>
      <c r="S37" s="660"/>
      <c r="T37" s="6">
        <f>SUM(T38,T69,T97,T112,T126)</f>
        <v>5582200</v>
      </c>
      <c r="U37" s="6">
        <f>SUM(U38,U69,U97,U112,U126)</f>
        <v>5050700</v>
      </c>
      <c r="V37" s="6">
        <f>SUM(V38,V69,V97,V112,V126)</f>
        <v>5262200</v>
      </c>
      <c r="W37" s="6"/>
      <c r="X37" s="48" t="str">
        <f>"Нормативные "&amp;TEXT(B37,"0")&amp;" включают в себя:
нормативные "&amp;TEXT(B38,"0")&amp;";
нормативные "&amp;TEXT(B69,"0")&amp;" "&amp;TEXT(B70,"0")&amp;";
нормативные "&amp;TEXT(B97,"0")&amp;";
нормативные "&amp;TEXT(B112,"0")&amp;";
нормативные "&amp;TEXT(B126,"0")&amp;""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38" spans="1:24" ht="60" x14ac:dyDescent="0.25">
      <c r="A38" s="39" t="s">
        <v>9</v>
      </c>
      <c r="B38" s="40" t="s">
        <v>117</v>
      </c>
      <c r="C38" s="47"/>
      <c r="D38" s="45" t="s">
        <v>35</v>
      </c>
      <c r="E38" s="45" t="s">
        <v>35</v>
      </c>
      <c r="F38" s="659"/>
      <c r="G38" s="660"/>
      <c r="H38" s="660"/>
      <c r="I38" s="660"/>
      <c r="J38" s="660"/>
      <c r="K38" s="660"/>
      <c r="L38" s="660"/>
      <c r="M38" s="660"/>
      <c r="N38" s="660"/>
      <c r="O38" s="660"/>
      <c r="P38" s="660"/>
      <c r="Q38" s="660"/>
      <c r="R38" s="660"/>
      <c r="S38" s="660"/>
      <c r="T38" s="47">
        <f>SUM(T39,T51)</f>
        <v>293800</v>
      </c>
      <c r="U38" s="47">
        <f>SUM(U39,U51)</f>
        <v>305100</v>
      </c>
      <c r="V38" s="47">
        <f>SUM(V39,V51)</f>
        <v>317600</v>
      </c>
      <c r="W38" s="47"/>
      <c r="X38" s="48" t="str">
        <f>"Нормативные "&amp;TEXT(B38,"0")&amp;" включают в себя:
нормативные "&amp;TEXT(B39,"0")&amp;";
нормативные "&amp;TEXT(B51,"0")&amp;""</f>
        <v>Нормативные затраты на содержание имущества включают в себя:
нормативные затраты на техническое обслуживание и ремонт транспортных средств;
нормативные затраты на техническое обслуживание и регламентно-профилактический ремонт иного оборудования</v>
      </c>
    </row>
    <row r="39" spans="1:24" ht="45" x14ac:dyDescent="0.25">
      <c r="A39" s="39" t="s">
        <v>10</v>
      </c>
      <c r="B39" s="40" t="s">
        <v>112</v>
      </c>
      <c r="C39" s="47"/>
      <c r="D39" s="45" t="s">
        <v>35</v>
      </c>
      <c r="E39" s="45" t="s">
        <v>35</v>
      </c>
      <c r="F39" s="659"/>
      <c r="G39" s="660"/>
      <c r="H39" s="660"/>
      <c r="I39" s="660"/>
      <c r="J39" s="660"/>
      <c r="K39" s="660"/>
      <c r="L39" s="660"/>
      <c r="M39" s="660"/>
      <c r="N39" s="660"/>
      <c r="O39" s="660"/>
      <c r="P39" s="660"/>
      <c r="Q39" s="660"/>
      <c r="R39" s="660"/>
      <c r="S39" s="660"/>
      <c r="T39" s="47">
        <f>SUM(T40,T45)</f>
        <v>14400</v>
      </c>
      <c r="U39" s="47">
        <f>SUM(U40,U45)</f>
        <v>14900</v>
      </c>
      <c r="V39" s="47">
        <f>SUM(V40,V45)</f>
        <v>15500</v>
      </c>
      <c r="W39" s="47"/>
      <c r="X39" s="48" t="str">
        <f>"Нормативные "&amp;TEXT(B39,"0")&amp;" включают в себя:
нормативные "&amp;TEXT(B40,"0")&amp;";
нормативные "&amp;TEXT(B45,"0")&amp;""</f>
        <v>Нормативные затраты на техническое обслуживание и ремонт транспортных средств включают в себя:
нормативные затраты на техническое обслуживание автомобиля;
нормативные затраты на технический осмотр автомобиля</v>
      </c>
    </row>
    <row r="40" spans="1:24" ht="120" collapsed="1" x14ac:dyDescent="0.25">
      <c r="A40" s="644" t="s">
        <v>162</v>
      </c>
      <c r="B40" s="664" t="s">
        <v>113</v>
      </c>
      <c r="C40" s="38"/>
      <c r="D40" s="642">
        <v>225</v>
      </c>
      <c r="E40" s="642">
        <v>244</v>
      </c>
      <c r="F40" s="639" t="s">
        <v>182</v>
      </c>
      <c r="G40" s="639"/>
      <c r="H40" s="639"/>
      <c r="I40" s="639"/>
      <c r="J40" s="639"/>
      <c r="K40" s="639"/>
      <c r="L40" s="639"/>
      <c r="M40" s="639"/>
      <c r="N40" s="639"/>
      <c r="O40" s="639"/>
      <c r="P40" s="639"/>
      <c r="Q40" s="639"/>
      <c r="R40" s="639"/>
      <c r="S40" s="13"/>
      <c r="T40" s="640">
        <f>M42</f>
        <v>13200</v>
      </c>
      <c r="U40" s="640">
        <f>O43</f>
        <v>13700</v>
      </c>
      <c r="V40" s="640">
        <f>Q44</f>
        <v>14200</v>
      </c>
      <c r="W40" s="38"/>
      <c r="X40" s="48" t="s">
        <v>83</v>
      </c>
    </row>
    <row r="41" spans="1:24" hidden="1" outlineLevel="1" x14ac:dyDescent="0.25">
      <c r="A41" s="644"/>
      <c r="B41" s="665"/>
      <c r="C41" s="38"/>
      <c r="D41" s="643"/>
      <c r="E41" s="641"/>
      <c r="F41" s="7" t="s">
        <v>183</v>
      </c>
      <c r="G41" s="44">
        <v>1</v>
      </c>
      <c r="H41" s="12" t="s">
        <v>81</v>
      </c>
      <c r="I41" s="44">
        <v>1</v>
      </c>
      <c r="J41" s="12" t="s">
        <v>73</v>
      </c>
      <c r="K41" s="44">
        <v>12600</v>
      </c>
      <c r="L41" s="12" t="s">
        <v>41</v>
      </c>
      <c r="M41" s="44">
        <f>ROUND((G41*I41*K41),2)</f>
        <v>12600</v>
      </c>
      <c r="N41" s="12" t="s">
        <v>37</v>
      </c>
      <c r="O41" s="12"/>
      <c r="P41" s="12"/>
      <c r="Q41" s="12"/>
      <c r="R41" s="13"/>
      <c r="S41" s="13"/>
      <c r="T41" s="640"/>
      <c r="U41" s="640"/>
      <c r="V41" s="640"/>
      <c r="W41" s="38"/>
    </row>
    <row r="42" spans="1:24" x14ac:dyDescent="0.25">
      <c r="A42" s="644"/>
      <c r="B42" s="665"/>
      <c r="C42" s="38"/>
      <c r="D42" s="643"/>
      <c r="E42" s="641"/>
      <c r="F42" s="18" t="s">
        <v>138</v>
      </c>
      <c r="G42" s="44">
        <f>M41</f>
        <v>12600</v>
      </c>
      <c r="H42" s="13" t="s">
        <v>137</v>
      </c>
      <c r="I42" s="19">
        <f>1.0397</f>
        <v>1.0397000000000001</v>
      </c>
      <c r="J42" s="12" t="s">
        <v>25</v>
      </c>
      <c r="K42" s="44">
        <f>ROUND((G42*I42),2)</f>
        <v>13100.22</v>
      </c>
      <c r="L42" s="12" t="s">
        <v>41</v>
      </c>
      <c r="M42" s="14">
        <f>ROUNDUP((K42),-2)</f>
        <v>13200</v>
      </c>
      <c r="N42" s="15" t="s">
        <v>37</v>
      </c>
      <c r="O42" s="16"/>
      <c r="P42" s="16"/>
      <c r="Q42" s="16"/>
      <c r="R42" s="16"/>
      <c r="S42" s="13"/>
      <c r="T42" s="640"/>
      <c r="U42" s="640"/>
      <c r="V42" s="640"/>
      <c r="W42" s="38"/>
      <c r="X42" s="48" t="str">
        <f>""&amp;TEXT($G$41,"0,0")&amp;" авт. х "&amp;TEXT($I$41,"0,0")&amp;" раз х "&amp;TEXT(ROUND((K42/$G$41/$I$41),2),"0 000,00")&amp;" руб. = "&amp;TEXT(ROUND((($G$41*$I$41*ROUND((K42/$G$41/$I$41),2))),2),"0 000,00")&amp;" руб. = "&amp;TEXT(M42,"0 000,00")&amp;" руб."</f>
        <v>1,0 авт. х 1,0 раз х 13 100,22 руб. = 13 100,22 руб. = 13 200,00 руб.</v>
      </c>
    </row>
    <row r="43" spans="1:24" x14ac:dyDescent="0.25">
      <c r="A43" s="644"/>
      <c r="B43" s="665"/>
      <c r="C43" s="38"/>
      <c r="D43" s="643"/>
      <c r="E43" s="641"/>
      <c r="F43" s="18" t="s">
        <v>139</v>
      </c>
      <c r="G43" s="44">
        <f>G42</f>
        <v>12600</v>
      </c>
      <c r="H43" s="12" t="str">
        <f>H42</f>
        <v>руб. х индекс потребительских цен 2020 года</v>
      </c>
      <c r="I43" s="19">
        <f>$I$42</f>
        <v>1.0397000000000001</v>
      </c>
      <c r="J43" s="13" t="s">
        <v>136</v>
      </c>
      <c r="K43" s="19">
        <v>1.0388999999999999</v>
      </c>
      <c r="L43" s="12" t="s">
        <v>25</v>
      </c>
      <c r="M43" s="44">
        <f>ROUND((G43*I43*K43),2)</f>
        <v>13609.82</v>
      </c>
      <c r="N43" s="12" t="s">
        <v>41</v>
      </c>
      <c r="O43" s="14">
        <f>ROUNDUP((M43),-2)</f>
        <v>13700</v>
      </c>
      <c r="P43" s="15" t="s">
        <v>37</v>
      </c>
      <c r="Q43" s="16"/>
      <c r="R43" s="16"/>
      <c r="S43" s="16"/>
      <c r="T43" s="640"/>
      <c r="U43" s="640"/>
      <c r="V43" s="640"/>
      <c r="W43" s="38"/>
      <c r="X43" s="48" t="str">
        <f>""&amp;TEXT($G$41,"0,0")&amp;" авт. х "&amp;TEXT($I$41,"0,0")&amp;" раз х "&amp;TEXT(ROUND((M43/$G$41/$I$41),2),"0 000,00")&amp;" руб. = "&amp;TEXT(ROUND((($G$41*$I$41*ROUND((M43/$G$41/$I$41),2))),2),"0 000,00")&amp;" руб. = "&amp;TEXT(O43,"0 000,00")&amp;" руб."</f>
        <v>1,0 авт. х 1,0 раз х 13 609,82 руб. = 13 609,82 руб. = 13 700,00 руб.</v>
      </c>
    </row>
    <row r="44" spans="1:24" x14ac:dyDescent="0.25">
      <c r="A44" s="644"/>
      <c r="B44" s="665"/>
      <c r="C44" s="38"/>
      <c r="D44" s="643"/>
      <c r="E44" s="641"/>
      <c r="F44" s="18" t="s">
        <v>140</v>
      </c>
      <c r="G44" s="44">
        <f>G43</f>
        <v>12600</v>
      </c>
      <c r="H44" s="12" t="str">
        <f>H42</f>
        <v>руб. х индекс потребительских цен 2020 года</v>
      </c>
      <c r="I44" s="19">
        <f>$I$42</f>
        <v>1.0397000000000001</v>
      </c>
      <c r="J44" s="12" t="str">
        <f>J43</f>
        <v>х индекс потребительских цен 2021 года</v>
      </c>
      <c r="K44" s="19">
        <f>$K$43</f>
        <v>1.0388999999999999</v>
      </c>
      <c r="L44" s="13" t="s">
        <v>135</v>
      </c>
      <c r="M44" s="19">
        <v>1.0407999999999999</v>
      </c>
      <c r="N44" s="12" t="s">
        <v>25</v>
      </c>
      <c r="O44" s="44">
        <f>ROUND((G44*I44*K44*M44),2)</f>
        <v>14165.1</v>
      </c>
      <c r="P44" s="12" t="s">
        <v>41</v>
      </c>
      <c r="Q44" s="14">
        <f>ROUNDUP((O44),-2)</f>
        <v>14200</v>
      </c>
      <c r="R44" s="15" t="s">
        <v>37</v>
      </c>
      <c r="S44" s="15"/>
      <c r="T44" s="641"/>
      <c r="U44" s="641"/>
      <c r="V44" s="641"/>
      <c r="W44" s="38"/>
      <c r="X44" s="48" t="str">
        <f>""&amp;TEXT($G$41,"0,0")&amp;" авт. х "&amp;TEXT($I$41,"0,0")&amp;" раз х "&amp;TEXT(ROUND((O44/$G$41/$I$41),2),"0 000,00")&amp;" руб. = "&amp;TEXT(ROUND((($G$41*$I$41*ROUND((O44/$G$41/$I$41),2))),2),"0 000,00")&amp;" руб. = "&amp;TEXT(Q44,"0 000,00")&amp;" руб."</f>
        <v>1,0 авт. х 1,0 раз х 14 165,10 руб. = 14 165,10 руб. = 14 200,00 руб.</v>
      </c>
    </row>
    <row r="45" spans="1:24" ht="120" collapsed="1" x14ac:dyDescent="0.25">
      <c r="A45" s="644" t="s">
        <v>163</v>
      </c>
      <c r="B45" s="645" t="s">
        <v>114</v>
      </c>
      <c r="C45" s="38"/>
      <c r="D45" s="642">
        <v>225</v>
      </c>
      <c r="E45" s="642">
        <v>244</v>
      </c>
      <c r="F45" s="639" t="s">
        <v>178</v>
      </c>
      <c r="G45" s="639"/>
      <c r="H45" s="639"/>
      <c r="I45" s="639"/>
      <c r="J45" s="639"/>
      <c r="K45" s="639"/>
      <c r="L45" s="639"/>
      <c r="M45" s="639"/>
      <c r="N45" s="639"/>
      <c r="O45" s="639"/>
      <c r="P45" s="639"/>
      <c r="Q45" s="639"/>
      <c r="R45" s="639"/>
      <c r="S45" s="13"/>
      <c r="T45" s="640">
        <f>M48</f>
        <v>1200</v>
      </c>
      <c r="U45" s="640">
        <f>O49</f>
        <v>1200</v>
      </c>
      <c r="V45" s="640">
        <f>Q50</f>
        <v>1300</v>
      </c>
      <c r="W45" s="38"/>
      <c r="X45" s="48" t="s">
        <v>82</v>
      </c>
    </row>
    <row r="46" spans="1:24" hidden="1" outlineLevel="1" x14ac:dyDescent="0.25">
      <c r="A46" s="644"/>
      <c r="B46" s="646"/>
      <c r="C46" s="38"/>
      <c r="D46" s="643"/>
      <c r="E46" s="643"/>
      <c r="F46" s="7" t="s">
        <v>171</v>
      </c>
      <c r="G46" s="44">
        <v>1</v>
      </c>
      <c r="H46" s="12" t="s">
        <v>81</v>
      </c>
      <c r="I46" s="44">
        <v>1</v>
      </c>
      <c r="J46" s="12" t="s">
        <v>177</v>
      </c>
      <c r="K46" s="44">
        <f>ROUND((866.67/1*1.2),2)</f>
        <v>1040</v>
      </c>
      <c r="L46" s="12" t="s">
        <v>41</v>
      </c>
      <c r="M46" s="44">
        <f>ROUND((G46*I46*K46),2)</f>
        <v>1040</v>
      </c>
      <c r="N46" s="12" t="s">
        <v>37</v>
      </c>
      <c r="O46" s="12"/>
      <c r="P46" s="12"/>
      <c r="Q46" s="12"/>
      <c r="R46" s="13"/>
      <c r="S46" s="13"/>
      <c r="T46" s="640"/>
      <c r="U46" s="640"/>
      <c r="V46" s="640"/>
      <c r="W46" s="38"/>
    </row>
    <row r="47" spans="1:24" hidden="1" outlineLevel="1" x14ac:dyDescent="0.25">
      <c r="A47" s="644"/>
      <c r="B47" s="646"/>
      <c r="C47" s="38"/>
      <c r="D47" s="643"/>
      <c r="E47" s="643"/>
      <c r="F47" s="18" t="s">
        <v>172</v>
      </c>
      <c r="G47" s="44">
        <f>M46</f>
        <v>1040</v>
      </c>
      <c r="H47" s="13" t="s">
        <v>68</v>
      </c>
      <c r="I47" s="19">
        <v>1.04</v>
      </c>
      <c r="J47" s="12" t="s">
        <v>25</v>
      </c>
      <c r="K47" s="44">
        <f>ROUND((G47*I47),2)</f>
        <v>1081.5999999999999</v>
      </c>
      <c r="L47" s="12" t="s">
        <v>37</v>
      </c>
      <c r="M47" s="16"/>
      <c r="N47" s="16"/>
      <c r="O47" s="16"/>
      <c r="P47" s="16"/>
      <c r="Q47" s="16"/>
      <c r="R47" s="16"/>
      <c r="S47" s="13"/>
      <c r="T47" s="640"/>
      <c r="U47" s="640"/>
      <c r="V47" s="640"/>
      <c r="W47" s="38"/>
    </row>
    <row r="48" spans="1:24" x14ac:dyDescent="0.25">
      <c r="A48" s="644"/>
      <c r="B48" s="646"/>
      <c r="C48" s="38"/>
      <c r="D48" s="643"/>
      <c r="E48" s="643"/>
      <c r="F48" s="18" t="s">
        <v>138</v>
      </c>
      <c r="G48" s="44">
        <f>K47</f>
        <v>1081.5999999999999</v>
      </c>
      <c r="H48" s="13" t="s">
        <v>137</v>
      </c>
      <c r="I48" s="19">
        <f>1.0397</f>
        <v>1.0397000000000001</v>
      </c>
      <c r="J48" s="12" t="s">
        <v>25</v>
      </c>
      <c r="K48" s="44">
        <f>ROUND((G48*I48),2)</f>
        <v>1124.54</v>
      </c>
      <c r="L48" s="12" t="s">
        <v>41</v>
      </c>
      <c r="M48" s="14">
        <f>ROUNDUP((K48),-2)</f>
        <v>1200</v>
      </c>
      <c r="N48" s="15" t="s">
        <v>37</v>
      </c>
      <c r="O48" s="16"/>
      <c r="P48" s="16"/>
      <c r="Q48" s="16"/>
      <c r="R48" s="16"/>
      <c r="S48" s="13"/>
      <c r="T48" s="640"/>
      <c r="U48" s="640"/>
      <c r="V48" s="640"/>
      <c r="W48" s="38"/>
      <c r="X48" s="48" t="str">
        <f>""&amp;TEXT($G$46,"0,0")&amp;" авт. х "&amp;TEXT($I$46,"0,0")&amp;" раз х "&amp;TEXT(ROUND((K48/$G$46/$I$46),2),"000,00")&amp;" руб. = "&amp;TEXT(ROUND((($G$46*$I$46*ROUND((K48/$G$46/$I$46),2))),2),"000,00")&amp;" руб. = "&amp;TEXT(M48,"0 000,00")&amp;" руб."</f>
        <v>1,0 авт. х 1,0 раз х 1124,54 руб. = 1124,54 руб. = 1 200,00 руб.</v>
      </c>
    </row>
    <row r="49" spans="1:25" x14ac:dyDescent="0.25">
      <c r="A49" s="644"/>
      <c r="B49" s="646"/>
      <c r="C49" s="38"/>
      <c r="D49" s="643"/>
      <c r="E49" s="643"/>
      <c r="F49" s="18" t="s">
        <v>139</v>
      </c>
      <c r="G49" s="44">
        <f>G48</f>
        <v>1081.5999999999999</v>
      </c>
      <c r="H49" s="12" t="str">
        <f>H48</f>
        <v>руб. х индекс потребительских цен 2020 года</v>
      </c>
      <c r="I49" s="19">
        <f>$I$48</f>
        <v>1.0397000000000001</v>
      </c>
      <c r="J49" s="13" t="s">
        <v>136</v>
      </c>
      <c r="K49" s="19">
        <v>1.0388999999999999</v>
      </c>
      <c r="L49" s="12" t="s">
        <v>25</v>
      </c>
      <c r="M49" s="44">
        <f>ROUND((G49*I49*K49),2)</f>
        <v>1168.28</v>
      </c>
      <c r="N49" s="12" t="s">
        <v>41</v>
      </c>
      <c r="O49" s="14">
        <f>ROUNDUP((M49),-2)</f>
        <v>1200</v>
      </c>
      <c r="P49" s="15" t="s">
        <v>37</v>
      </c>
      <c r="Q49" s="16"/>
      <c r="R49" s="16"/>
      <c r="S49" s="13"/>
      <c r="T49" s="640"/>
      <c r="U49" s="640"/>
      <c r="V49" s="640"/>
      <c r="W49" s="38"/>
      <c r="X49" s="48" t="str">
        <f>""&amp;TEXT($G$46,"0,0")&amp;" авт. х "&amp;TEXT($I$46,"0,0")&amp;" раз х "&amp;TEXT(ROUND((M49/$G$46/$I$46),2),"000,00")&amp;" руб. = "&amp;TEXT(ROUND((($G$46*$I$46*ROUND((M49/$G$46/$I$46),2))),2),"000,00")&amp;" руб. = "&amp;TEXT(O49,"0 000,00")&amp;" руб."</f>
        <v>1,0 авт. х 1,0 раз х 1168,28 руб. = 1168,28 руб. = 1 200,00 руб.</v>
      </c>
    </row>
    <row r="50" spans="1:25" x14ac:dyDescent="0.25">
      <c r="A50" s="644"/>
      <c r="B50" s="646"/>
      <c r="C50" s="38"/>
      <c r="D50" s="643"/>
      <c r="E50" s="643"/>
      <c r="F50" s="18" t="s">
        <v>140</v>
      </c>
      <c r="G50" s="44">
        <f>G49</f>
        <v>1081.5999999999999</v>
      </c>
      <c r="H50" s="12" t="str">
        <f>H48</f>
        <v>руб. х индекс потребительских цен 2020 года</v>
      </c>
      <c r="I50" s="19">
        <f>$I$48</f>
        <v>1.0397000000000001</v>
      </c>
      <c r="J50" s="12" t="str">
        <f>J49</f>
        <v>х индекс потребительских цен 2021 года</v>
      </c>
      <c r="K50" s="19">
        <f>$K$49</f>
        <v>1.0388999999999999</v>
      </c>
      <c r="L50" s="13" t="s">
        <v>135</v>
      </c>
      <c r="M50" s="19">
        <v>1.0407999999999999</v>
      </c>
      <c r="N50" s="12" t="s">
        <v>25</v>
      </c>
      <c r="O50" s="44">
        <f>ROUND((G50*I50*K50*M50),2)</f>
        <v>1215.95</v>
      </c>
      <c r="P50" s="12" t="s">
        <v>41</v>
      </c>
      <c r="Q50" s="14">
        <f>ROUNDUP((O50),-2)</f>
        <v>1300</v>
      </c>
      <c r="R50" s="15" t="s">
        <v>37</v>
      </c>
      <c r="S50" s="13"/>
      <c r="T50" s="641"/>
      <c r="U50" s="641"/>
      <c r="V50" s="641"/>
      <c r="W50" s="38"/>
      <c r="X50" s="48" t="str">
        <f>""&amp;TEXT($G$46,"0,0")&amp;" авт. х "&amp;TEXT($I$46,"0,0")&amp;" раз х "&amp;TEXT(ROUND((O50/$G$46/$I$46),2),"000,00")&amp;" руб. = "&amp;TEXT(ROUND((($G$46*$I$46*ROUND((O50/$G$46/$I$46),2))),2),"000,00")&amp;" руб. = "&amp;TEXT(Q50,"0 000,00")&amp;" руб."</f>
        <v>1,0 авт. х 1,0 раз х 1215,95 руб. = 1215,95 руб. = 1 300,00 руб.</v>
      </c>
    </row>
    <row r="51" spans="1:25" ht="90" x14ac:dyDescent="0.25">
      <c r="A51" s="39" t="s">
        <v>11</v>
      </c>
      <c r="B51" s="40" t="s">
        <v>115</v>
      </c>
      <c r="C51" s="47"/>
      <c r="D51" s="45" t="s">
        <v>35</v>
      </c>
      <c r="E51" s="45" t="s">
        <v>35</v>
      </c>
      <c r="F51" s="659"/>
      <c r="G51" s="660"/>
      <c r="H51" s="660"/>
      <c r="I51" s="660"/>
      <c r="J51" s="660"/>
      <c r="K51" s="660"/>
      <c r="L51" s="660"/>
      <c r="M51" s="660"/>
      <c r="N51" s="660"/>
      <c r="O51" s="660"/>
      <c r="P51" s="660"/>
      <c r="Q51" s="660"/>
      <c r="R51" s="660"/>
      <c r="S51" s="660"/>
      <c r="T51" s="47">
        <f>SUM(T52,T58,T64)</f>
        <v>279400</v>
      </c>
      <c r="U51" s="47">
        <f>SUM(U52,U58,U64)</f>
        <v>290200</v>
      </c>
      <c r="V51" s="47">
        <f>SUM(V52,V58,V64)</f>
        <v>302100</v>
      </c>
      <c r="W51" s="47"/>
      <c r="X51" s="48" t="str">
        <f>"Нормативные "&amp;TEXT(B51,"0")&amp;" включают в себя:
нормативные "&amp;TEXT(B52,"0")&amp;";
нормативные "&amp;TEXT(B58,"0")&amp;";
нормативные "&amp;TEXT(B64,"0")&amp;""</f>
        <v>Нормативные затраты на техническое обслуживание и регламентно-профилактический ремонт иного оборудования включают в себя:
нормативные затраты по диагностике и техническому обслуживанию систем кондиционирования;
нормативные затраты по техническому обслуживанию и регламентно-профилактический ремонту комплексных систем обеспечения безопасности;
нормативные затраты по техническому обслуживанию счетчика банкнот</v>
      </c>
      <c r="Y51" s="23"/>
    </row>
    <row r="52" spans="1:25" s="24" customFormat="1" ht="135" collapsed="1" x14ac:dyDescent="0.25">
      <c r="A52" s="644" t="s">
        <v>127</v>
      </c>
      <c r="B52" s="645" t="s">
        <v>124</v>
      </c>
      <c r="C52" s="11"/>
      <c r="D52" s="642">
        <v>225</v>
      </c>
      <c r="E52" s="642">
        <v>244</v>
      </c>
      <c r="F52" s="639" t="s">
        <v>182</v>
      </c>
      <c r="G52" s="639"/>
      <c r="H52" s="639"/>
      <c r="I52" s="639"/>
      <c r="J52" s="639"/>
      <c r="K52" s="639"/>
      <c r="L52" s="639"/>
      <c r="M52" s="639"/>
      <c r="N52" s="639"/>
      <c r="O52" s="639"/>
      <c r="P52" s="639"/>
      <c r="Q52" s="639"/>
      <c r="R52" s="639"/>
      <c r="S52" s="44"/>
      <c r="T52" s="640">
        <f>M55</f>
        <v>241500</v>
      </c>
      <c r="U52" s="640">
        <f>O56</f>
        <v>250900</v>
      </c>
      <c r="V52" s="640">
        <f>Q57</f>
        <v>261100</v>
      </c>
      <c r="W52" s="11"/>
      <c r="X52" s="48" t="s">
        <v>84</v>
      </c>
    </row>
    <row r="53" spans="1:25" hidden="1" outlineLevel="1" x14ac:dyDescent="0.25">
      <c r="A53" s="644"/>
      <c r="B53" s="646"/>
      <c r="C53" s="38"/>
      <c r="D53" s="643"/>
      <c r="E53" s="641"/>
      <c r="F53" s="662" t="s">
        <v>183</v>
      </c>
      <c r="G53" s="44">
        <v>21</v>
      </c>
      <c r="H53" s="12" t="s">
        <v>77</v>
      </c>
      <c r="I53" s="44">
        <v>2</v>
      </c>
      <c r="J53" s="12" t="s">
        <v>67</v>
      </c>
      <c r="K53" s="44">
        <v>5278.33</v>
      </c>
      <c r="L53" s="12" t="s">
        <v>41</v>
      </c>
      <c r="M53" s="44">
        <f>ROUND((G53*I53*K53),2)</f>
        <v>221689.86</v>
      </c>
      <c r="N53" s="12" t="s">
        <v>37</v>
      </c>
      <c r="P53" s="21" t="s">
        <v>145</v>
      </c>
      <c r="Q53" s="22">
        <f>ROUND(((K53+K54)/2),2)</f>
        <v>5278.33</v>
      </c>
      <c r="R53" s="7"/>
      <c r="S53" s="13"/>
      <c r="T53" s="640"/>
      <c r="U53" s="640"/>
      <c r="V53" s="640"/>
      <c r="W53" s="38"/>
      <c r="X53" s="48"/>
    </row>
    <row r="54" spans="1:25" hidden="1" outlineLevel="1" x14ac:dyDescent="0.25">
      <c r="A54" s="644"/>
      <c r="B54" s="646"/>
      <c r="C54" s="38"/>
      <c r="D54" s="643"/>
      <c r="E54" s="641"/>
      <c r="F54" s="663"/>
      <c r="G54" s="44">
        <v>1</v>
      </c>
      <c r="H54" s="12" t="s">
        <v>77</v>
      </c>
      <c r="I54" s="44">
        <v>2</v>
      </c>
      <c r="J54" s="12" t="s">
        <v>67</v>
      </c>
      <c r="K54" s="44">
        <v>5278.33</v>
      </c>
      <c r="L54" s="12" t="s">
        <v>41</v>
      </c>
      <c r="M54" s="44">
        <f>ROUND((G54*I54*K54),2)</f>
        <v>10556.66</v>
      </c>
      <c r="N54" s="12" t="s">
        <v>37</v>
      </c>
      <c r="O54" s="12"/>
      <c r="P54" s="21" t="s">
        <v>146</v>
      </c>
      <c r="Q54" s="22">
        <f>ROUND(((M53+M54)/Q53/(G53+G54)),10)</f>
        <v>2</v>
      </c>
      <c r="R54" s="7"/>
      <c r="S54" s="13"/>
      <c r="T54" s="640"/>
      <c r="U54" s="640"/>
      <c r="V54" s="640"/>
      <c r="W54" s="38"/>
      <c r="X54" s="48"/>
    </row>
    <row r="55" spans="1:25" x14ac:dyDescent="0.25">
      <c r="A55" s="644"/>
      <c r="B55" s="646"/>
      <c r="C55" s="38"/>
      <c r="D55" s="643"/>
      <c r="E55" s="641"/>
      <c r="F55" s="18" t="s">
        <v>138</v>
      </c>
      <c r="G55" s="44">
        <f>M53+M54</f>
        <v>232246.52</v>
      </c>
      <c r="H55" s="13" t="s">
        <v>137</v>
      </c>
      <c r="I55" s="19">
        <f>1.0397</f>
        <v>1.0397000000000001</v>
      </c>
      <c r="J55" s="12" t="s">
        <v>25</v>
      </c>
      <c r="K55" s="44">
        <f>ROUND((G55*I55),2)</f>
        <v>241466.71</v>
      </c>
      <c r="L55" s="12" t="s">
        <v>41</v>
      </c>
      <c r="M55" s="14">
        <f>ROUNDUP((K55),-2)</f>
        <v>241500</v>
      </c>
      <c r="N55" s="15" t="s">
        <v>37</v>
      </c>
      <c r="O55" s="16"/>
      <c r="P55" s="16"/>
      <c r="Q55" s="16"/>
      <c r="R55" s="7"/>
      <c r="S55" s="16"/>
      <c r="T55" s="640"/>
      <c r="U55" s="640"/>
      <c r="V55" s="640"/>
      <c r="W55" s="38"/>
      <c r="X55" s="48" t="str">
        <f>"(("&amp;TEXT($G$53,"00,0")&amp;" шт. х "&amp;TEXT($I$53,"0,0")&amp;" раз) + ("&amp;TEXT($G$54,"0,0")&amp;" шт. х "&amp;TEXT($I$54,"0,0")&amp;" раза)) х "&amp;TEXT(ROUND((K55/($G$53+$G$54)/$Q$54),2),"000,00")&amp;" руб. = "&amp;TEXT(ROUND((($G$53+$G$54)*$Q$54*(ROUND((K55/($G$53+$G$54)/$Q$54),2))),2),"0 000,00")&amp;" руб. = "&amp;TEXT(M55,"0 000,00")&amp;" руб."</f>
        <v>((21,0 шт. х 2,0 раз) + (1,0 шт. х 2,0 раза)) х 5487,88 руб. = 241 466,72 руб. = 241 500,00 руб.</v>
      </c>
    </row>
    <row r="56" spans="1:25" x14ac:dyDescent="0.25">
      <c r="A56" s="644"/>
      <c r="B56" s="646"/>
      <c r="C56" s="38"/>
      <c r="D56" s="643"/>
      <c r="E56" s="641"/>
      <c r="F56" s="18" t="s">
        <v>139</v>
      </c>
      <c r="G56" s="44">
        <f>G55</f>
        <v>232246.52</v>
      </c>
      <c r="H56" s="12" t="str">
        <f>H55</f>
        <v>руб. х индекс потребительских цен 2020 года</v>
      </c>
      <c r="I56" s="19">
        <f>$I$55</f>
        <v>1.0397000000000001</v>
      </c>
      <c r="J56" s="13" t="s">
        <v>136</v>
      </c>
      <c r="K56" s="19">
        <v>1.0388999999999999</v>
      </c>
      <c r="L56" s="12" t="s">
        <v>25</v>
      </c>
      <c r="M56" s="44">
        <f>ROUND((G56*I56*K56),2)</f>
        <v>250859.76</v>
      </c>
      <c r="N56" s="12" t="s">
        <v>41</v>
      </c>
      <c r="O56" s="14">
        <f>ROUNDUP((M56),-2)</f>
        <v>250900</v>
      </c>
      <c r="P56" s="15" t="s">
        <v>37</v>
      </c>
      <c r="Q56" s="16"/>
      <c r="R56" s="7"/>
      <c r="S56" s="16"/>
      <c r="T56" s="640"/>
      <c r="U56" s="640"/>
      <c r="V56" s="640"/>
      <c r="W56" s="38"/>
      <c r="X56" s="48" t="str">
        <f>"(("&amp;TEXT($G$53,"00,0")&amp;" шт. х "&amp;TEXT($I$53,"0,0")&amp;" раз) + ("&amp;TEXT($G$54,"0,0")&amp;" шт. х "&amp;TEXT($I$54,"0,0")&amp;" раза)) х "&amp;TEXT(ROUND((M56/($G$53+$G$54)/$Q$54),2),"000,00")&amp;" руб. = "&amp;TEXT(ROUND((($G$53+$G$54)*$Q$54*(ROUND((M56/($G$53+$G$54)/$Q$54),2))),2),"0 000,00")&amp;" руб. = "&amp;TEXT(O56,"0 000,00")&amp;" руб."</f>
        <v>((21,0 шт. х 2,0 раз) + (1,0 шт. х 2,0 раза)) х 5701,36 руб. = 250 859,84 руб. = 250 900,00 руб.</v>
      </c>
    </row>
    <row r="57" spans="1:25" x14ac:dyDescent="0.25">
      <c r="A57" s="644"/>
      <c r="B57" s="646"/>
      <c r="C57" s="38"/>
      <c r="D57" s="643"/>
      <c r="E57" s="641"/>
      <c r="F57" s="18" t="s">
        <v>140</v>
      </c>
      <c r="G57" s="44">
        <f>G56</f>
        <v>232246.52</v>
      </c>
      <c r="H57" s="12" t="str">
        <f>H55</f>
        <v>руб. х индекс потребительских цен 2020 года</v>
      </c>
      <c r="I57" s="19">
        <f>$I$55</f>
        <v>1.0397000000000001</v>
      </c>
      <c r="J57" s="12" t="str">
        <f>J56</f>
        <v>х индекс потребительских цен 2021 года</v>
      </c>
      <c r="K57" s="19">
        <f>$K$56</f>
        <v>1.0388999999999999</v>
      </c>
      <c r="L57" s="13" t="s">
        <v>135</v>
      </c>
      <c r="M57" s="19">
        <v>1.0407999999999999</v>
      </c>
      <c r="N57" s="12" t="s">
        <v>25</v>
      </c>
      <c r="O57" s="44">
        <f>ROUND((G57*I57*K57*M57),2)</f>
        <v>261094.84</v>
      </c>
      <c r="P57" s="12" t="s">
        <v>41</v>
      </c>
      <c r="Q57" s="14">
        <f>ROUNDUP((O57),-2)</f>
        <v>261100</v>
      </c>
      <c r="R57" s="7"/>
      <c r="S57" s="15"/>
      <c r="T57" s="641"/>
      <c r="U57" s="641"/>
      <c r="V57" s="641"/>
      <c r="W57" s="38"/>
      <c r="X57" s="48" t="str">
        <f>"(("&amp;TEXT($G$53,"00,0")&amp;" шт. х "&amp;TEXT($I$53,"0,0")&amp;" раз) + ("&amp;TEXT($G$54,"0,0")&amp;" шт. х "&amp;TEXT($I$54,"0,0")&amp;" раза)) х "&amp;TEXT(ROUND((O57/($G$53+$G$54)/$Q$54),2),"000,00")&amp;" руб. = "&amp;TEXT(ROUND((($G$53+$G$54)*$Q$54*(ROUND((O57/($G$53+$G$54)/$Q$54),2))),2),"0 000,00")&amp;" руб. = "&amp;TEXT(Q57,"0 000,00")&amp;" руб."</f>
        <v>((21,0 шт. х 2,0 раз) + (1,0 шт. х 2,0 раза)) х 5933,97 руб. = 261 094,68 руб. = 261 100,00 руб.</v>
      </c>
    </row>
    <row r="58" spans="1:25" ht="60" x14ac:dyDescent="0.25">
      <c r="A58" s="39" t="s">
        <v>128</v>
      </c>
      <c r="B58" s="40" t="s">
        <v>110</v>
      </c>
      <c r="C58" s="47"/>
      <c r="D58" s="45" t="s">
        <v>35</v>
      </c>
      <c r="E58" s="45" t="s">
        <v>35</v>
      </c>
      <c r="F58" s="659"/>
      <c r="G58" s="660"/>
      <c r="H58" s="660"/>
      <c r="I58" s="660"/>
      <c r="J58" s="660"/>
      <c r="K58" s="660"/>
      <c r="L58" s="660"/>
      <c r="M58" s="660"/>
      <c r="N58" s="660"/>
      <c r="O58" s="660"/>
      <c r="P58" s="660"/>
      <c r="Q58" s="660"/>
      <c r="R58" s="660"/>
      <c r="S58" s="660"/>
      <c r="T58" s="47">
        <f>SUM(T59)</f>
        <v>32400</v>
      </c>
      <c r="U58" s="47">
        <f>SUM(U59)</f>
        <v>33600</v>
      </c>
      <c r="V58" s="47">
        <f>SUM(V59)</f>
        <v>35000</v>
      </c>
      <c r="W58" s="47"/>
      <c r="X58" s="48" t="str">
        <f>"Нормативные "&amp;TEXT(B58,"0")&amp;" включают в себя:
нормативные "&amp;TEXT(B59,"0")&amp;""</f>
        <v>Нормативные затраты по техническому обслуживанию и регламентно-профилактический ремонту комплексных систем обеспечения безопасности включают в себя:
нормативные затраты по техническому обслуживанию охранно-тревожной сигнализации</v>
      </c>
    </row>
    <row r="59" spans="1:25" ht="135" collapsed="1" x14ac:dyDescent="0.25">
      <c r="A59" s="644" t="s">
        <v>164</v>
      </c>
      <c r="B59" s="645" t="s">
        <v>111</v>
      </c>
      <c r="C59" s="38"/>
      <c r="D59" s="642">
        <v>225</v>
      </c>
      <c r="E59" s="642">
        <v>244</v>
      </c>
      <c r="F59" s="639" t="s">
        <v>186</v>
      </c>
      <c r="G59" s="639"/>
      <c r="H59" s="639"/>
      <c r="I59" s="639"/>
      <c r="J59" s="639"/>
      <c r="K59" s="639"/>
      <c r="L59" s="639"/>
      <c r="M59" s="639"/>
      <c r="N59" s="639"/>
      <c r="O59" s="639"/>
      <c r="P59" s="639"/>
      <c r="Q59" s="639"/>
      <c r="R59" s="639"/>
      <c r="S59" s="13"/>
      <c r="T59" s="640">
        <f>M61</f>
        <v>32400</v>
      </c>
      <c r="U59" s="640">
        <f>O62</f>
        <v>33600</v>
      </c>
      <c r="V59" s="640">
        <f>Q63</f>
        <v>35000</v>
      </c>
      <c r="W59" s="38"/>
      <c r="X59" s="48" t="s">
        <v>176</v>
      </c>
    </row>
    <row r="60" spans="1:25" hidden="1" outlineLevel="1" x14ac:dyDescent="0.25">
      <c r="A60" s="644"/>
      <c r="B60" s="646"/>
      <c r="C60" s="38"/>
      <c r="D60" s="643"/>
      <c r="E60" s="641"/>
      <c r="F60" s="7" t="s">
        <v>144</v>
      </c>
      <c r="G60" s="44">
        <v>1</v>
      </c>
      <c r="H60" s="12" t="s">
        <v>70</v>
      </c>
      <c r="I60" s="44">
        <v>12</v>
      </c>
      <c r="J60" s="12" t="s">
        <v>73</v>
      </c>
      <c r="K60" s="44">
        <v>2695</v>
      </c>
      <c r="L60" s="12" t="s">
        <v>41</v>
      </c>
      <c r="M60" s="44">
        <f>ROUND((G60*I60*K60),2)</f>
        <v>32340</v>
      </c>
      <c r="N60" s="12" t="s">
        <v>37</v>
      </c>
      <c r="O60" s="12"/>
      <c r="P60" s="12"/>
      <c r="Q60" s="12"/>
      <c r="R60" s="13"/>
      <c r="S60" s="13"/>
      <c r="T60" s="640"/>
      <c r="U60" s="640"/>
      <c r="V60" s="640"/>
      <c r="W60" s="38"/>
      <c r="X60" s="48"/>
    </row>
    <row r="61" spans="1:25" x14ac:dyDescent="0.25">
      <c r="A61" s="644"/>
      <c r="B61" s="646"/>
      <c r="C61" s="38"/>
      <c r="D61" s="643"/>
      <c r="E61" s="641"/>
      <c r="F61" s="18" t="s">
        <v>138</v>
      </c>
      <c r="G61" s="44">
        <f>M60</f>
        <v>32340</v>
      </c>
      <c r="H61" s="13" t="s">
        <v>137</v>
      </c>
      <c r="I61" s="19">
        <f>1.0397-1.0397+1</f>
        <v>1</v>
      </c>
      <c r="J61" s="12" t="s">
        <v>25</v>
      </c>
      <c r="K61" s="44">
        <f>ROUND((G61*I61),2)</f>
        <v>32340</v>
      </c>
      <c r="L61" s="12" t="s">
        <v>41</v>
      </c>
      <c r="M61" s="14">
        <f>ROUNDUP((K61),-2)</f>
        <v>32400</v>
      </c>
      <c r="N61" s="15" t="s">
        <v>37</v>
      </c>
      <c r="O61" s="16"/>
      <c r="P61" s="16"/>
      <c r="Q61" s="16"/>
      <c r="R61" s="16"/>
      <c r="S61" s="13"/>
      <c r="T61" s="640"/>
      <c r="U61" s="640"/>
      <c r="V61" s="640"/>
      <c r="W61" s="38"/>
      <c r="X61" s="48" t="str">
        <f>""&amp;TEXT($G$60,"0,0")&amp;" кнопка х "&amp;TEXT($I$60,"0,0")&amp;" мес. х "&amp;TEXT(ROUND((K61/$G$60/$I$60),2),"0 000,00")&amp;" руб. = "&amp;TEXT(ROUND((($G$60*$I$60*ROUND((K61/$G$60/$I$60),2))),2),"0 000,00")&amp;" руб. = "&amp;TEXT(M61,"0 000,00")&amp;" руб."</f>
        <v>1,0 кнопка х 12,0 мес. х 2 695,00 руб. = 32 340,00 руб. = 32 400,00 руб.</v>
      </c>
    </row>
    <row r="62" spans="1:25" x14ac:dyDescent="0.25">
      <c r="A62" s="644"/>
      <c r="B62" s="646"/>
      <c r="C62" s="38"/>
      <c r="D62" s="643"/>
      <c r="E62" s="641"/>
      <c r="F62" s="18" t="s">
        <v>139</v>
      </c>
      <c r="G62" s="44">
        <f>G61</f>
        <v>32340</v>
      </c>
      <c r="H62" s="12" t="str">
        <f>H61</f>
        <v>руб. х индекс потребительских цен 2020 года</v>
      </c>
      <c r="I62" s="19">
        <f>$I$61</f>
        <v>1</v>
      </c>
      <c r="J62" s="13" t="s">
        <v>136</v>
      </c>
      <c r="K62" s="19">
        <v>1.0388999999999999</v>
      </c>
      <c r="L62" s="12" t="s">
        <v>25</v>
      </c>
      <c r="M62" s="44">
        <f>ROUND((G62*I62*K62),2)</f>
        <v>33598.03</v>
      </c>
      <c r="N62" s="12" t="s">
        <v>41</v>
      </c>
      <c r="O62" s="14">
        <f>ROUNDUP((M62),-2)</f>
        <v>33600</v>
      </c>
      <c r="P62" s="15" t="s">
        <v>37</v>
      </c>
      <c r="Q62" s="16"/>
      <c r="R62" s="16"/>
      <c r="S62" s="13"/>
      <c r="T62" s="640"/>
      <c r="U62" s="640"/>
      <c r="V62" s="640"/>
      <c r="W62" s="38"/>
      <c r="X62" s="48" t="str">
        <f>""&amp;TEXT($G$60,"0,0")&amp;" кнопка х "&amp;TEXT($I$60,"0,0")&amp;" мес. х "&amp;TEXT(ROUND((M62/$G$60/$I$60),2),"0 000,00")&amp;" руб. = "&amp;TEXT(ROUND((($G$60*$I$60*ROUND((M62/$G$60/$I$60),2))),2),"0 000,00")&amp;" руб. = "&amp;TEXT(O62,"0 000,00")&amp;" руб."</f>
        <v>1,0 кнопка х 12,0 мес. х 2 799,84 руб. = 33 598,08 руб. = 33 600,00 руб.</v>
      </c>
    </row>
    <row r="63" spans="1:25" x14ac:dyDescent="0.25">
      <c r="A63" s="644"/>
      <c r="B63" s="646"/>
      <c r="C63" s="38"/>
      <c r="D63" s="643"/>
      <c r="E63" s="641"/>
      <c r="F63" s="18" t="s">
        <v>140</v>
      </c>
      <c r="G63" s="44">
        <f>G62</f>
        <v>32340</v>
      </c>
      <c r="H63" s="12" t="str">
        <f>H61</f>
        <v>руб. х индекс потребительских цен 2020 года</v>
      </c>
      <c r="I63" s="19">
        <f>$I$61</f>
        <v>1</v>
      </c>
      <c r="J63" s="12" t="str">
        <f>J62</f>
        <v>х индекс потребительских цен 2021 года</v>
      </c>
      <c r="K63" s="19">
        <f>$K$62</f>
        <v>1.0388999999999999</v>
      </c>
      <c r="L63" s="13" t="s">
        <v>135</v>
      </c>
      <c r="M63" s="19">
        <v>1.0407999999999999</v>
      </c>
      <c r="N63" s="12" t="s">
        <v>25</v>
      </c>
      <c r="O63" s="44">
        <f>ROUND((G63*I63*K63*M63),2)</f>
        <v>34968.83</v>
      </c>
      <c r="P63" s="12" t="s">
        <v>41</v>
      </c>
      <c r="Q63" s="14">
        <f>ROUNDUP((O63),-2)</f>
        <v>35000</v>
      </c>
      <c r="R63" s="15" t="s">
        <v>37</v>
      </c>
      <c r="S63" s="13"/>
      <c r="T63" s="641"/>
      <c r="U63" s="641"/>
      <c r="V63" s="641"/>
      <c r="W63" s="38"/>
      <c r="X63" s="48" t="str">
        <f>""&amp;TEXT($G$60,"0,0")&amp;" кнопка х "&amp;TEXT($I$60,"0,0")&amp;" мес. х "&amp;TEXT(ROUND((O63/$G$60/$I$60),2),"0 000,00")&amp;" руб. = "&amp;TEXT(ROUND((($G$60*$I$60*ROUND((O63/$G$60/$I$60),2))),2),"0 000,00")&amp;" руб. = "&amp;TEXT(Q63,"0 000,00")&amp;" руб."</f>
        <v>1,0 кнопка х 12,0 мес. х 2 914,07 руб. = 34 968,84 руб. = 35 000,00 руб.</v>
      </c>
    </row>
    <row r="64" spans="1:25" ht="135" collapsed="1" x14ac:dyDescent="0.25">
      <c r="A64" s="644" t="s">
        <v>129</v>
      </c>
      <c r="B64" s="645" t="s">
        <v>116</v>
      </c>
      <c r="C64" s="38"/>
      <c r="D64" s="642">
        <v>225</v>
      </c>
      <c r="E64" s="642">
        <v>244</v>
      </c>
      <c r="F64" s="639" t="s">
        <v>182</v>
      </c>
      <c r="G64" s="639"/>
      <c r="H64" s="639"/>
      <c r="I64" s="639"/>
      <c r="J64" s="639"/>
      <c r="K64" s="639"/>
      <c r="L64" s="639"/>
      <c r="M64" s="639"/>
      <c r="N64" s="639"/>
      <c r="O64" s="639"/>
      <c r="P64" s="639"/>
      <c r="Q64" s="639"/>
      <c r="R64" s="639"/>
      <c r="S64" s="13"/>
      <c r="T64" s="640">
        <f>M66</f>
        <v>5500</v>
      </c>
      <c r="U64" s="640">
        <f>O67</f>
        <v>5700</v>
      </c>
      <c r="V64" s="640">
        <f>Q68</f>
        <v>6000</v>
      </c>
      <c r="W64" s="38"/>
      <c r="X64" s="48" t="s">
        <v>85</v>
      </c>
    </row>
    <row r="65" spans="1:24" hidden="1" outlineLevel="1" x14ac:dyDescent="0.25">
      <c r="A65" s="644"/>
      <c r="B65" s="646"/>
      <c r="C65" s="38"/>
      <c r="D65" s="643"/>
      <c r="E65" s="641"/>
      <c r="F65" s="7" t="s">
        <v>183</v>
      </c>
      <c r="G65" s="44">
        <v>1</v>
      </c>
      <c r="H65" s="12" t="s">
        <v>77</v>
      </c>
      <c r="I65" s="44">
        <v>4</v>
      </c>
      <c r="J65" s="12" t="s">
        <v>67</v>
      </c>
      <c r="K65" s="44">
        <v>1316.67</v>
      </c>
      <c r="L65" s="12" t="s">
        <v>41</v>
      </c>
      <c r="M65" s="44">
        <f>ROUND((G65*I65*K65),2)</f>
        <v>5266.68</v>
      </c>
      <c r="N65" s="12" t="s">
        <v>37</v>
      </c>
      <c r="O65" s="12"/>
      <c r="P65" s="12"/>
      <c r="Q65" s="12"/>
      <c r="R65" s="13"/>
      <c r="S65" s="13"/>
      <c r="T65" s="640"/>
      <c r="U65" s="640"/>
      <c r="V65" s="640"/>
      <c r="W65" s="38"/>
      <c r="X65" s="48"/>
    </row>
    <row r="66" spans="1:24" x14ac:dyDescent="0.25">
      <c r="A66" s="644"/>
      <c r="B66" s="646"/>
      <c r="C66" s="38"/>
      <c r="D66" s="643"/>
      <c r="E66" s="641"/>
      <c r="F66" s="18" t="s">
        <v>138</v>
      </c>
      <c r="G66" s="44">
        <f>M65</f>
        <v>5266.68</v>
      </c>
      <c r="H66" s="13" t="s">
        <v>137</v>
      </c>
      <c r="I66" s="19">
        <f>1.0397</f>
        <v>1.0397000000000001</v>
      </c>
      <c r="J66" s="12" t="s">
        <v>25</v>
      </c>
      <c r="K66" s="44">
        <f>ROUND((G66*I66),2)</f>
        <v>5475.77</v>
      </c>
      <c r="L66" s="12" t="s">
        <v>41</v>
      </c>
      <c r="M66" s="14">
        <f>ROUNDUP((K66),-2)</f>
        <v>5500</v>
      </c>
      <c r="N66" s="15" t="s">
        <v>37</v>
      </c>
      <c r="O66" s="16"/>
      <c r="P66" s="16"/>
      <c r="Q66" s="16"/>
      <c r="R66" s="16"/>
      <c r="S66" s="13"/>
      <c r="T66" s="640"/>
      <c r="U66" s="640"/>
      <c r="V66" s="640"/>
      <c r="W66" s="38"/>
      <c r="X66" s="48" t="str">
        <f>""&amp;TEXT($G$65,"0,0")&amp;" шт. х "&amp;TEXT($I$65,"0,0")&amp;" раза х "&amp;TEXT(ROUND((K66/$G$65/$I$65),2),"0 000,00")&amp;" руб. = "&amp;TEXT(ROUND((($G$65*$I$65*ROUND((K66/$G$65/$I$65),2))),2),"0 000,00")&amp;" руб. = "&amp;TEXT(M66,"0 000,00")&amp;" руб."</f>
        <v>1,0 шт. х 4,0 раза х 1 368,94 руб. = 5 475,76 руб. = 5 500,00 руб.</v>
      </c>
    </row>
    <row r="67" spans="1:24" x14ac:dyDescent="0.25">
      <c r="A67" s="644"/>
      <c r="B67" s="646"/>
      <c r="C67" s="38"/>
      <c r="D67" s="643"/>
      <c r="E67" s="641"/>
      <c r="F67" s="18" t="s">
        <v>139</v>
      </c>
      <c r="G67" s="44">
        <f>G66</f>
        <v>5266.68</v>
      </c>
      <c r="H67" s="12" t="str">
        <f>H66</f>
        <v>руб. х индекс потребительских цен 2020 года</v>
      </c>
      <c r="I67" s="19">
        <f>$I$66</f>
        <v>1.0397000000000001</v>
      </c>
      <c r="J67" s="13" t="s">
        <v>136</v>
      </c>
      <c r="K67" s="19">
        <v>1.0388999999999999</v>
      </c>
      <c r="L67" s="12" t="s">
        <v>25</v>
      </c>
      <c r="M67" s="44">
        <f>ROUND((G67*I67*K67),2)</f>
        <v>5688.77</v>
      </c>
      <c r="N67" s="12" t="s">
        <v>41</v>
      </c>
      <c r="O67" s="14">
        <f>ROUNDUP((M67),-2)</f>
        <v>5700</v>
      </c>
      <c r="P67" s="15" t="s">
        <v>37</v>
      </c>
      <c r="Q67" s="16"/>
      <c r="R67" s="16"/>
      <c r="S67" s="13"/>
      <c r="T67" s="640"/>
      <c r="U67" s="640"/>
      <c r="V67" s="640"/>
      <c r="W67" s="38"/>
      <c r="X67" s="48" t="str">
        <f>""&amp;TEXT($G$65,"0,0")&amp;" шт. х "&amp;TEXT($I$65,"0,0")&amp;" раза х "&amp;TEXT(ROUND((M67/$G$65/$I$65),2),"0 000,00")&amp;" руб. = "&amp;TEXT(ROUND((($G$65*$I$65*ROUND((M67/$G$65/$I$65),2))),2),"0 000,00")&amp;" руб. = "&amp;TEXT(O67,"0 000,00")&amp;" руб."</f>
        <v>1,0 шт. х 4,0 раза х 1 422,19 руб. = 5 688,76 руб. = 5 700,00 руб.</v>
      </c>
    </row>
    <row r="68" spans="1:24" x14ac:dyDescent="0.25">
      <c r="A68" s="644"/>
      <c r="B68" s="646"/>
      <c r="C68" s="38"/>
      <c r="D68" s="643"/>
      <c r="E68" s="641"/>
      <c r="F68" s="18" t="s">
        <v>140</v>
      </c>
      <c r="G68" s="44">
        <f>G67</f>
        <v>5266.68</v>
      </c>
      <c r="H68" s="12" t="str">
        <f>H66</f>
        <v>руб. х индекс потребительских цен 2020 года</v>
      </c>
      <c r="I68" s="19">
        <f>$I$66</f>
        <v>1.0397000000000001</v>
      </c>
      <c r="J68" s="12" t="str">
        <f>J67</f>
        <v>х индекс потребительских цен 2021 года</v>
      </c>
      <c r="K68" s="19">
        <f>$K$67</f>
        <v>1.0388999999999999</v>
      </c>
      <c r="L68" s="13" t="s">
        <v>135</v>
      </c>
      <c r="M68" s="19">
        <v>1.0407999999999999</v>
      </c>
      <c r="N68" s="12" t="s">
        <v>25</v>
      </c>
      <c r="O68" s="44">
        <f>ROUND((G68*I68*K68*M68),2)</f>
        <v>5920.88</v>
      </c>
      <c r="P68" s="12" t="s">
        <v>41</v>
      </c>
      <c r="Q68" s="14">
        <f>ROUNDUP((O68),-2)</f>
        <v>6000</v>
      </c>
      <c r="R68" s="15" t="s">
        <v>37</v>
      </c>
      <c r="S68" s="13"/>
      <c r="T68" s="641"/>
      <c r="U68" s="641"/>
      <c r="V68" s="641"/>
      <c r="W68" s="38"/>
      <c r="X68" s="48" t="str">
        <f>""&amp;TEXT($G$65,"0,0")&amp;" шт. х "&amp;TEXT($I$65,"0,0")&amp;" раза х "&amp;TEXT(ROUND((O68/$G$65/$I$65),2),"0 000,00")&amp;" руб. = "&amp;TEXT(ROUND((($G$65*$I$65*ROUND((O68/$G$65/$I$65),2))),2),"0 000,00")&amp;" руб. = "&amp;TEXT(Q68,"0 000,00")&amp;" руб."</f>
        <v>1,0 шт. х 4,0 раза х 1 480,22 руб. = 5 920,88 руб. = 6 000,00 руб.</v>
      </c>
    </row>
    <row r="69" spans="1:24" ht="105" x14ac:dyDescent="0.25">
      <c r="A69" s="656" t="s">
        <v>12</v>
      </c>
      <c r="B69" s="25" t="s">
        <v>109</v>
      </c>
      <c r="C69" s="26"/>
      <c r="D69" s="658" t="s">
        <v>35</v>
      </c>
      <c r="E69" s="658" t="s">
        <v>35</v>
      </c>
      <c r="F69" s="659"/>
      <c r="G69" s="660"/>
      <c r="H69" s="660"/>
      <c r="I69" s="660"/>
      <c r="J69" s="660"/>
      <c r="K69" s="660"/>
      <c r="L69" s="660"/>
      <c r="M69" s="660"/>
      <c r="N69" s="660"/>
      <c r="O69" s="660"/>
      <c r="P69" s="660"/>
      <c r="Q69" s="660"/>
      <c r="R69" s="660"/>
      <c r="S69" s="660"/>
      <c r="T69" s="661">
        <f>SUM(T71,T76,T87,T92)</f>
        <v>613100</v>
      </c>
      <c r="U69" s="661">
        <f>SUM(U71,U76,U87,U92)</f>
        <v>634900</v>
      </c>
      <c r="V69" s="661">
        <f>SUM(V71,V76,V87,V92)</f>
        <v>663500</v>
      </c>
      <c r="W69" s="27"/>
      <c r="X69" s="43" t="str">
        <f>"Нормативные "&amp;TEXT(B69,"0")&amp;""</f>
        <v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</v>
      </c>
    </row>
    <row r="70" spans="1:24" ht="135" x14ac:dyDescent="0.25">
      <c r="A70" s="657"/>
      <c r="B70" s="28" t="s">
        <v>119</v>
      </c>
      <c r="C70" s="26"/>
      <c r="D70" s="643"/>
      <c r="E70" s="643"/>
      <c r="F70" s="660"/>
      <c r="G70" s="660"/>
      <c r="H70" s="660"/>
      <c r="I70" s="660"/>
      <c r="J70" s="660"/>
      <c r="K70" s="660"/>
      <c r="L70" s="660"/>
      <c r="M70" s="660"/>
      <c r="N70" s="660"/>
      <c r="O70" s="660"/>
      <c r="P70" s="660"/>
      <c r="Q70" s="660"/>
      <c r="R70" s="660"/>
      <c r="S70" s="660"/>
      <c r="T70" s="643"/>
      <c r="U70" s="643"/>
      <c r="V70" s="643"/>
      <c r="W70" s="27"/>
      <c r="X70" s="29" t="str">
        <f>""&amp;TEXT(B70,"0")&amp;" включают в себя:
нормативные "&amp;TEXT(B71,"0")&amp;";
нормативные "&amp;TEXT(B76,"0")&amp;";
нормативные "&amp;TEXT(B87,"0")&amp;";
нормативные "&amp;TEXT(B92,"0")&amp;""</f>
        <v>заключаемым со сторонними организациями, а также к затратам на коммунальные услуги, аренду помещений и оборудования, содержание имущества включают в себя:
нормативные затраты на оплату типографских работ и услуг, включая приобретение периодических печатных изданий;
нормативные затраты на проведение предрейсового и послерейсового осмотра водителей транспортных средств;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71" spans="1:24" ht="45" x14ac:dyDescent="0.25">
      <c r="A71" s="39" t="s">
        <v>13</v>
      </c>
      <c r="B71" s="50" t="s">
        <v>104</v>
      </c>
      <c r="C71" s="47"/>
      <c r="D71" s="45" t="s">
        <v>35</v>
      </c>
      <c r="E71" s="45" t="s">
        <v>35</v>
      </c>
      <c r="F71" s="659"/>
      <c r="G71" s="660"/>
      <c r="H71" s="660"/>
      <c r="I71" s="660"/>
      <c r="J71" s="660"/>
      <c r="K71" s="660"/>
      <c r="L71" s="660"/>
      <c r="M71" s="660"/>
      <c r="N71" s="660"/>
      <c r="O71" s="660"/>
      <c r="P71" s="660"/>
      <c r="Q71" s="660"/>
      <c r="R71" s="660"/>
      <c r="S71" s="660"/>
      <c r="T71" s="47">
        <f>SUM(T72)</f>
        <v>429500</v>
      </c>
      <c r="U71" s="47">
        <f>SUM(U72)</f>
        <v>447300</v>
      </c>
      <c r="V71" s="47">
        <f>SUM(V72)</f>
        <v>465200</v>
      </c>
      <c r="W71" s="47"/>
      <c r="X71" s="30" t="str">
        <f>"Нормативные "&amp;TEXT(B71,"0")&amp;" включают в себя:
нормативные "&amp;TEXT(B72,"0")&amp;""</f>
        <v>Нормативные затраты на оплату типографских работ и услуг, включая приобретение периодических печатных изданий включают в себя:
нормативные затраты на приобретение периодических печатных изданий</v>
      </c>
    </row>
    <row r="72" spans="1:24" ht="90" x14ac:dyDescent="0.25">
      <c r="A72" s="644" t="s">
        <v>130</v>
      </c>
      <c r="B72" s="645" t="s">
        <v>103</v>
      </c>
      <c r="C72" s="38"/>
      <c r="D72" s="642">
        <v>226</v>
      </c>
      <c r="E72" s="642">
        <v>244</v>
      </c>
      <c r="F72" s="639" t="s">
        <v>52</v>
      </c>
      <c r="G72" s="639"/>
      <c r="H72" s="639"/>
      <c r="I72" s="639"/>
      <c r="J72" s="639"/>
      <c r="K72" s="639"/>
      <c r="L72" s="639"/>
      <c r="M72" s="639"/>
      <c r="N72" s="639"/>
      <c r="O72" s="639"/>
      <c r="P72" s="639"/>
      <c r="Q72" s="639"/>
      <c r="R72" s="639"/>
      <c r="S72" s="13"/>
      <c r="T72" s="640">
        <f>O73</f>
        <v>429500</v>
      </c>
      <c r="U72" s="640">
        <f>O74</f>
        <v>447300</v>
      </c>
      <c r="V72" s="640">
        <f>O75</f>
        <v>465200</v>
      </c>
      <c r="W72" s="38"/>
      <c r="X72" s="48" t="s">
        <v>51</v>
      </c>
    </row>
    <row r="73" spans="1:24" x14ac:dyDescent="0.25">
      <c r="A73" s="644"/>
      <c r="B73" s="646"/>
      <c r="C73" s="38"/>
      <c r="D73" s="643"/>
      <c r="E73" s="643"/>
      <c r="F73" s="18" t="s">
        <v>149</v>
      </c>
      <c r="G73" s="44">
        <v>213</v>
      </c>
      <c r="H73" s="12" t="s">
        <v>48</v>
      </c>
      <c r="I73" s="44">
        <v>168</v>
      </c>
      <c r="J73" s="12" t="s">
        <v>49</v>
      </c>
      <c r="K73" s="44">
        <v>12</v>
      </c>
      <c r="L73" s="12" t="s">
        <v>50</v>
      </c>
      <c r="M73" s="44">
        <f>ROUND((G73*I73*K73),2)</f>
        <v>429408</v>
      </c>
      <c r="N73" s="12" t="s">
        <v>41</v>
      </c>
      <c r="O73" s="14">
        <f>ROUNDUP((M73),-2)</f>
        <v>429500</v>
      </c>
      <c r="P73" s="15" t="s">
        <v>37</v>
      </c>
      <c r="Q73" s="12"/>
      <c r="R73" s="13"/>
      <c r="S73" s="13"/>
      <c r="T73" s="640"/>
      <c r="U73" s="640"/>
      <c r="V73" s="640"/>
      <c r="W73" s="38"/>
      <c r="X73" s="48" t="str">
        <f>""&amp;TEXT(G73,"000,00")&amp;" шт.ед. х норматив "&amp;TEXT(I73,"0,00")&amp;" руб. х "&amp;TEXT(K73,"00,0")&amp;" мес.  = "&amp;TEXT(M73,"0 000,00")&amp;" руб. = "&amp;TEXT(O73,"0 000,00")&amp;" руб."</f>
        <v>213,00 шт.ед. х норматив 168,00 руб. х 12,0 мес.  = 429 408,00 руб. = 429 500,00 руб.</v>
      </c>
    </row>
    <row r="74" spans="1:24" x14ac:dyDescent="0.25">
      <c r="A74" s="644"/>
      <c r="B74" s="646"/>
      <c r="C74" s="38"/>
      <c r="D74" s="643"/>
      <c r="E74" s="643"/>
      <c r="F74" s="18" t="s">
        <v>150</v>
      </c>
      <c r="G74" s="44">
        <v>213</v>
      </c>
      <c r="H74" s="12" t="s">
        <v>48</v>
      </c>
      <c r="I74" s="44">
        <v>175</v>
      </c>
      <c r="J74" s="12" t="s">
        <v>49</v>
      </c>
      <c r="K74" s="44">
        <v>12</v>
      </c>
      <c r="L74" s="12" t="s">
        <v>50</v>
      </c>
      <c r="M74" s="44">
        <f t="shared" ref="M74:M75" si="2">ROUND((G74*I74*K74),2)</f>
        <v>447300</v>
      </c>
      <c r="N74" s="12" t="s">
        <v>41</v>
      </c>
      <c r="O74" s="14">
        <f>ROUNDUP((M74),-2)</f>
        <v>447300</v>
      </c>
      <c r="P74" s="15" t="s">
        <v>37</v>
      </c>
      <c r="Q74" s="12"/>
      <c r="R74" s="13"/>
      <c r="S74" s="13"/>
      <c r="T74" s="640"/>
      <c r="U74" s="640"/>
      <c r="V74" s="640"/>
      <c r="W74" s="38"/>
      <c r="X74" s="48" t="str">
        <f t="shared" ref="X74:X75" si="3">""&amp;TEXT(G74,"000,00")&amp;" шт.ед. х норматив "&amp;TEXT(I74,"0,00")&amp;" руб. х "&amp;TEXT(K74,"00,0")&amp;" мес.  = "&amp;TEXT(M74,"0 000,00")&amp;" руб. = "&amp;TEXT(O74,"0 000,00")&amp;" руб."</f>
        <v>213,00 шт.ед. х норматив 175,00 руб. х 12,0 мес.  = 447 300,00 руб. = 447 300,00 руб.</v>
      </c>
    </row>
    <row r="75" spans="1:24" x14ac:dyDescent="0.25">
      <c r="A75" s="644"/>
      <c r="B75" s="646"/>
      <c r="C75" s="38"/>
      <c r="D75" s="643"/>
      <c r="E75" s="643"/>
      <c r="F75" s="18" t="s">
        <v>151</v>
      </c>
      <c r="G75" s="44">
        <v>213</v>
      </c>
      <c r="H75" s="12" t="s">
        <v>48</v>
      </c>
      <c r="I75" s="44">
        <v>182</v>
      </c>
      <c r="J75" s="12" t="s">
        <v>49</v>
      </c>
      <c r="K75" s="44">
        <v>12</v>
      </c>
      <c r="L75" s="12" t="s">
        <v>50</v>
      </c>
      <c r="M75" s="44">
        <f t="shared" si="2"/>
        <v>465192</v>
      </c>
      <c r="N75" s="12" t="s">
        <v>41</v>
      </c>
      <c r="O75" s="14">
        <f>ROUNDUP((M75),-2)</f>
        <v>465200</v>
      </c>
      <c r="P75" s="15" t="s">
        <v>37</v>
      </c>
      <c r="Q75" s="12"/>
      <c r="R75" s="13"/>
      <c r="S75" s="13"/>
      <c r="T75" s="640"/>
      <c r="U75" s="640"/>
      <c r="V75" s="640"/>
      <c r="W75" s="38"/>
      <c r="X75" s="48" t="str">
        <f t="shared" si="3"/>
        <v>213,00 шт.ед. х норматив 182,00 руб. х 12,0 мес.  = 465 192,00 руб. = 465 200,00 руб.</v>
      </c>
    </row>
    <row r="76" spans="1:24" ht="60" x14ac:dyDescent="0.25">
      <c r="A76" s="39" t="s">
        <v>30</v>
      </c>
      <c r="B76" s="40" t="s">
        <v>105</v>
      </c>
      <c r="C76" s="47"/>
      <c r="D76" s="45" t="s">
        <v>35</v>
      </c>
      <c r="E76" s="45" t="s">
        <v>35</v>
      </c>
      <c r="F76" s="639"/>
      <c r="G76" s="639"/>
      <c r="H76" s="639"/>
      <c r="I76" s="639"/>
      <c r="J76" s="639"/>
      <c r="K76" s="639"/>
      <c r="L76" s="639"/>
      <c r="M76" s="639"/>
      <c r="N76" s="639"/>
      <c r="O76" s="639"/>
      <c r="P76" s="639"/>
      <c r="Q76" s="639"/>
      <c r="R76" s="639"/>
      <c r="S76" s="46"/>
      <c r="T76" s="47">
        <f>SUM(T77,T82)</f>
        <v>28400</v>
      </c>
      <c r="U76" s="47">
        <f>SUM(U77,U82)</f>
        <v>26500</v>
      </c>
      <c r="V76" s="47">
        <f>SUM(V77,V82)</f>
        <v>30600</v>
      </c>
      <c r="W76" s="47"/>
      <c r="X76" s="48" t="str">
        <f>"Нормативные "&amp;TEXT(B76,"0")&amp;" включают в себя:
нормативные "&amp;TEXT(B77,"0")&amp;";
нормативные "&amp;TEXT(B82,"0")&amp;""</f>
        <v>Нормативные затраты на проведение предрейсового и послерейсового осмотра водителей транспортных средств включают в себя:
нормативные затраты на проведение периодического медицинского осмотра;
нормативные затраты на проведение предрейсового медицинского осмотра</v>
      </c>
    </row>
    <row r="77" spans="1:24" ht="120" collapsed="1" x14ac:dyDescent="0.25">
      <c r="A77" s="644" t="s">
        <v>125</v>
      </c>
      <c r="B77" s="645" t="s">
        <v>106</v>
      </c>
      <c r="C77" s="38"/>
      <c r="D77" s="642">
        <v>226</v>
      </c>
      <c r="E77" s="642">
        <v>244</v>
      </c>
      <c r="F77" s="639" t="s">
        <v>148</v>
      </c>
      <c r="G77" s="639"/>
      <c r="H77" s="639"/>
      <c r="I77" s="639"/>
      <c r="J77" s="639"/>
      <c r="K77" s="639"/>
      <c r="L77" s="639"/>
      <c r="M77" s="639"/>
      <c r="N77" s="639"/>
      <c r="O77" s="639"/>
      <c r="P77" s="639"/>
      <c r="Q77" s="639"/>
      <c r="R77" s="639"/>
      <c r="S77" s="13"/>
      <c r="T77" s="640">
        <f>M79</f>
        <v>2800</v>
      </c>
      <c r="U77" s="671">
        <f>O80</f>
        <v>0</v>
      </c>
      <c r="V77" s="640">
        <f>Q81</f>
        <v>3000</v>
      </c>
      <c r="W77" s="38"/>
      <c r="X77" s="48" t="s">
        <v>74</v>
      </c>
    </row>
    <row r="78" spans="1:24" hidden="1" outlineLevel="1" x14ac:dyDescent="0.25">
      <c r="A78" s="644"/>
      <c r="B78" s="646"/>
      <c r="C78" s="38"/>
      <c r="D78" s="643"/>
      <c r="E78" s="641"/>
      <c r="F78" s="7" t="s">
        <v>144</v>
      </c>
      <c r="G78" s="44">
        <v>1</v>
      </c>
      <c r="H78" s="12" t="s">
        <v>66</v>
      </c>
      <c r="I78" s="44">
        <v>1</v>
      </c>
      <c r="J78" s="12" t="s">
        <v>73</v>
      </c>
      <c r="K78" s="44">
        <v>2751.67</v>
      </c>
      <c r="L78" s="12" t="s">
        <v>41</v>
      </c>
      <c r="M78" s="44">
        <f>ROUND((G78*I78*K78),2)</f>
        <v>2751.67</v>
      </c>
      <c r="N78" s="12" t="s">
        <v>37</v>
      </c>
      <c r="O78" s="12"/>
      <c r="P78" s="12"/>
      <c r="Q78" s="12"/>
      <c r="R78" s="13"/>
      <c r="S78" s="13"/>
      <c r="T78" s="640"/>
      <c r="U78" s="672"/>
      <c r="V78" s="640"/>
      <c r="W78" s="38"/>
    </row>
    <row r="79" spans="1:24" collapsed="1" x14ac:dyDescent="0.25">
      <c r="A79" s="644"/>
      <c r="B79" s="646"/>
      <c r="C79" s="38"/>
      <c r="D79" s="643"/>
      <c r="E79" s="641"/>
      <c r="F79" s="18" t="s">
        <v>138</v>
      </c>
      <c r="G79" s="44">
        <f>M78</f>
        <v>2751.67</v>
      </c>
      <c r="H79" s="13" t="s">
        <v>137</v>
      </c>
      <c r="I79" s="19">
        <f>1.0397-1.0397+1</f>
        <v>1</v>
      </c>
      <c r="J79" s="12" t="s">
        <v>25</v>
      </c>
      <c r="K79" s="44">
        <f>ROUND((G79*I79),2)</f>
        <v>2751.67</v>
      </c>
      <c r="L79" s="12" t="s">
        <v>41</v>
      </c>
      <c r="M79" s="14">
        <f>ROUNDUP((K79),-2)</f>
        <v>2800</v>
      </c>
      <c r="N79" s="15" t="s">
        <v>37</v>
      </c>
      <c r="O79" s="16"/>
      <c r="P79" s="16"/>
      <c r="Q79" s="16"/>
      <c r="R79" s="16"/>
      <c r="S79" s="13"/>
      <c r="T79" s="640"/>
      <c r="U79" s="672"/>
      <c r="V79" s="640"/>
      <c r="W79" s="38"/>
      <c r="X79" s="48" t="str">
        <f>""&amp;TEXT($G$78,"0,0")&amp;" чел. х "&amp;TEXT($I$78,"0,0")&amp;" раз х "&amp;TEXT(ROUND((K79/$G$78/$I$78),2),"0 000,00")&amp;" руб. = "&amp;TEXT(ROUND((($G$78*$I$78*ROUND((K79/$G$78/$I$78),2))),2),"0 000,00")&amp;" руб. = "&amp;TEXT(M79,"0 000,00")&amp;" руб."</f>
        <v>1,0 чел. х 1,0 раз х 2 751,67 руб. = 2 751,67 руб. = 2 800,00 руб.</v>
      </c>
    </row>
    <row r="80" spans="1:24" hidden="1" outlineLevel="1" collapsed="1" x14ac:dyDescent="0.25">
      <c r="A80" s="644"/>
      <c r="B80" s="646"/>
      <c r="C80" s="38"/>
      <c r="D80" s="643"/>
      <c r="E80" s="641"/>
      <c r="F80" s="18" t="s">
        <v>139</v>
      </c>
      <c r="G80" s="44">
        <f>G79</f>
        <v>2751.67</v>
      </c>
      <c r="H80" s="12" t="str">
        <f>H79</f>
        <v>руб. х индекс потребительских цен 2020 года</v>
      </c>
      <c r="I80" s="19">
        <f>$I$79</f>
        <v>1</v>
      </c>
      <c r="J80" s="13" t="s">
        <v>136</v>
      </c>
      <c r="K80" s="19">
        <v>1.0388999999999999</v>
      </c>
      <c r="L80" s="12" t="s">
        <v>25</v>
      </c>
      <c r="M80" s="37">
        <f>ROUND((G80*I80*K80),2)-ROUND((G80*I80*K80),2)</f>
        <v>0</v>
      </c>
      <c r="N80" s="12" t="s">
        <v>41</v>
      </c>
      <c r="O80" s="20">
        <f>ROUNDUP((M80),-2)-ROUNDUP((M80),-2)</f>
        <v>0</v>
      </c>
      <c r="P80" s="15" t="s">
        <v>37</v>
      </c>
      <c r="Q80" s="31" t="s">
        <v>165</v>
      </c>
      <c r="R80" s="16"/>
      <c r="S80" s="13"/>
      <c r="T80" s="640"/>
      <c r="U80" s="672"/>
      <c r="V80" s="640"/>
      <c r="W80" s="38"/>
      <c r="X80" s="32" t="str">
        <f>""&amp;TEXT($G$78,"0,0")&amp;" чел. х "&amp;TEXT($I$78,"0,0")&amp;" раз х "&amp;TEXT(ROUND((M80/$G$78/$I$78),2),"0 000,00")&amp;" руб. = "&amp;TEXT(ROUND((($G$78*$I$78*ROUND((M80/$G$78/$I$78),2))),2),"0 000,00")&amp;" руб. = "&amp;TEXT(O80,"0 000,00")&amp;" руб."</f>
        <v>1,0 чел. х 1,0 раз х 0 000,00 руб. = 0 000,00 руб. = 0 000,00 руб.</v>
      </c>
    </row>
    <row r="81" spans="1:25" x14ac:dyDescent="0.25">
      <c r="A81" s="644"/>
      <c r="B81" s="646"/>
      <c r="C81" s="38"/>
      <c r="D81" s="643"/>
      <c r="E81" s="641"/>
      <c r="F81" s="18" t="s">
        <v>140</v>
      </c>
      <c r="G81" s="44">
        <f>G80</f>
        <v>2751.67</v>
      </c>
      <c r="H81" s="12" t="str">
        <f>H79</f>
        <v>руб. х индекс потребительских цен 2020 года</v>
      </c>
      <c r="I81" s="19">
        <f>$I$79</f>
        <v>1</v>
      </c>
      <c r="J81" s="12" t="str">
        <f>J80</f>
        <v>х индекс потребительских цен 2021 года</v>
      </c>
      <c r="K81" s="19">
        <f>$K$80</f>
        <v>1.0388999999999999</v>
      </c>
      <c r="L81" s="13" t="s">
        <v>135</v>
      </c>
      <c r="M81" s="19">
        <v>1.0407999999999999</v>
      </c>
      <c r="N81" s="12" t="s">
        <v>25</v>
      </c>
      <c r="O81" s="44">
        <f>ROUND((G81*I81*K81*M81),2)</f>
        <v>2975.35</v>
      </c>
      <c r="P81" s="12" t="s">
        <v>41</v>
      </c>
      <c r="Q81" s="14">
        <f>ROUNDUP((O81),-2)</f>
        <v>3000</v>
      </c>
      <c r="R81" s="15" t="s">
        <v>37</v>
      </c>
      <c r="S81" s="13"/>
      <c r="T81" s="641"/>
      <c r="U81" s="673"/>
      <c r="V81" s="641"/>
      <c r="W81" s="38"/>
      <c r="X81" s="48" t="str">
        <f>""&amp;TEXT($G$78,"0,0")&amp;" чел. х "&amp;TEXT($I$78,"0,0")&amp;" раз х "&amp;TEXT(ROUND((O81/$G$78/$I$78),2),"0 000,00")&amp;" руб. = "&amp;TEXT(ROUND((($G$78*$I$78*ROUND((O81/$G$78/$I$78),2))),2),"0 000,00")&amp;" руб. = "&amp;TEXT(Q81,"0 000,00")&amp;" руб."</f>
        <v>1,0 чел. х 1,0 раз х 2 975,35 руб. = 2 975,35 руб. = 3 000,00 руб.</v>
      </c>
    </row>
    <row r="82" spans="1:25" ht="120" collapsed="1" x14ac:dyDescent="0.25">
      <c r="A82" s="644" t="s">
        <v>126</v>
      </c>
      <c r="B82" s="645" t="s">
        <v>107</v>
      </c>
      <c r="C82" s="38"/>
      <c r="D82" s="642">
        <v>226</v>
      </c>
      <c r="E82" s="642">
        <v>244</v>
      </c>
      <c r="F82" s="639" t="s">
        <v>182</v>
      </c>
      <c r="G82" s="639"/>
      <c r="H82" s="639"/>
      <c r="I82" s="639"/>
      <c r="J82" s="639"/>
      <c r="K82" s="639"/>
      <c r="L82" s="639"/>
      <c r="M82" s="639"/>
      <c r="N82" s="639"/>
      <c r="O82" s="639"/>
      <c r="P82" s="639"/>
      <c r="Q82" s="639"/>
      <c r="R82" s="639"/>
      <c r="S82" s="13"/>
      <c r="T82" s="640">
        <f>M84</f>
        <v>25600</v>
      </c>
      <c r="U82" s="640">
        <f>O85</f>
        <v>26500</v>
      </c>
      <c r="V82" s="640">
        <f>Q86</f>
        <v>27600</v>
      </c>
      <c r="W82" s="38"/>
      <c r="X82" s="48" t="s">
        <v>69</v>
      </c>
    </row>
    <row r="83" spans="1:25" hidden="1" outlineLevel="1" x14ac:dyDescent="0.25">
      <c r="A83" s="644"/>
      <c r="B83" s="646"/>
      <c r="C83" s="38"/>
      <c r="D83" s="643"/>
      <c r="E83" s="641"/>
      <c r="F83" s="7" t="s">
        <v>183</v>
      </c>
      <c r="G83" s="44">
        <v>1</v>
      </c>
      <c r="H83" s="12" t="s">
        <v>66</v>
      </c>
      <c r="I83" s="44">
        <v>223</v>
      </c>
      <c r="J83" s="12" t="s">
        <v>67</v>
      </c>
      <c r="K83" s="44">
        <v>110</v>
      </c>
      <c r="L83" s="12" t="s">
        <v>41</v>
      </c>
      <c r="M83" s="44">
        <f>ROUND((G83*I83*K83),2)</f>
        <v>24530</v>
      </c>
      <c r="N83" s="12" t="s">
        <v>37</v>
      </c>
      <c r="O83" s="12"/>
      <c r="P83" s="12"/>
      <c r="Q83" s="12"/>
      <c r="R83" s="13"/>
      <c r="S83" s="13"/>
      <c r="T83" s="640"/>
      <c r="U83" s="640"/>
      <c r="V83" s="640"/>
      <c r="W83" s="38"/>
    </row>
    <row r="84" spans="1:25" x14ac:dyDescent="0.25">
      <c r="A84" s="644"/>
      <c r="B84" s="646"/>
      <c r="C84" s="38"/>
      <c r="D84" s="643"/>
      <c r="E84" s="641"/>
      <c r="F84" s="18" t="s">
        <v>138</v>
      </c>
      <c r="G84" s="44">
        <f>M83</f>
        <v>24530</v>
      </c>
      <c r="H84" s="13" t="s">
        <v>137</v>
      </c>
      <c r="I84" s="19">
        <f>1.0397</f>
        <v>1.0397000000000001</v>
      </c>
      <c r="J84" s="12" t="s">
        <v>25</v>
      </c>
      <c r="K84" s="44">
        <f>ROUND((G84*I84),2)</f>
        <v>25503.84</v>
      </c>
      <c r="L84" s="12" t="s">
        <v>41</v>
      </c>
      <c r="M84" s="14">
        <f>ROUNDUP((K84),-2)</f>
        <v>25600</v>
      </c>
      <c r="N84" s="15" t="s">
        <v>37</v>
      </c>
      <c r="O84" s="16"/>
      <c r="P84" s="16"/>
      <c r="Q84" s="16"/>
      <c r="R84" s="16"/>
      <c r="S84" s="13"/>
      <c r="T84" s="640"/>
      <c r="U84" s="640"/>
      <c r="V84" s="640"/>
      <c r="W84" s="38"/>
      <c r="X84" s="48" t="str">
        <f>""&amp;TEXT($G$83,"0,0")&amp;" чел. х "&amp;TEXT($I$83,"0,0")&amp;" раз х "&amp;TEXT(ROUND((K84/$G$83/$I$83),2),"0,00")&amp;" руб. = "&amp;TEXT(ROUND((($G$83*$I$83*ROUND((K84/$G$83/$I$83),2))),2),"0 000,00")&amp;" руб. = "&amp;TEXT(M84,"0 000,00")&amp;" руб."</f>
        <v>1,0 чел. х 223,0 раз х 114,37 руб. = 25 504,51 руб. = 25 600,00 руб.</v>
      </c>
    </row>
    <row r="85" spans="1:25" x14ac:dyDescent="0.25">
      <c r="A85" s="644"/>
      <c r="B85" s="646"/>
      <c r="C85" s="38"/>
      <c r="D85" s="643"/>
      <c r="E85" s="641"/>
      <c r="F85" s="18" t="s">
        <v>139</v>
      </c>
      <c r="G85" s="44">
        <f>G84</f>
        <v>24530</v>
      </c>
      <c r="H85" s="12" t="str">
        <f>H84</f>
        <v>руб. х индекс потребительских цен 2020 года</v>
      </c>
      <c r="I85" s="19">
        <f>$I$84</f>
        <v>1.0397000000000001</v>
      </c>
      <c r="J85" s="13" t="s">
        <v>136</v>
      </c>
      <c r="K85" s="19">
        <v>1.0388999999999999</v>
      </c>
      <c r="L85" s="12" t="s">
        <v>25</v>
      </c>
      <c r="M85" s="44">
        <f>ROUND((G85*I85*K85),2)</f>
        <v>26495.94</v>
      </c>
      <c r="N85" s="12" t="s">
        <v>41</v>
      </c>
      <c r="O85" s="14">
        <f>ROUNDUP((M85),-2)</f>
        <v>26500</v>
      </c>
      <c r="P85" s="15" t="s">
        <v>37</v>
      </c>
      <c r="Q85" s="31"/>
      <c r="R85" s="16"/>
      <c r="S85" s="13"/>
      <c r="T85" s="640"/>
      <c r="U85" s="640"/>
      <c r="V85" s="640"/>
      <c r="W85" s="38"/>
      <c r="X85" s="48" t="str">
        <f>""&amp;TEXT($G$83,"0,0")&amp;" чел. х "&amp;TEXT($I$83,"0,0")&amp;" раз х "&amp;TEXT(ROUND((M85/$G$83/$I$83),2),"0,00")&amp;" руб. = "&amp;TEXT(ROUND((($G$83*$I$83*ROUND((M85/$G$83/$I$83),2))),2),"0 000,00")&amp;" руб. = "&amp;TEXT(O85,"0 000,00")&amp;" руб."</f>
        <v>1,0 чел. х 223,0 раз х 118,82 руб. = 26 496,86 руб. = 26 500,00 руб.</v>
      </c>
    </row>
    <row r="86" spans="1:25" x14ac:dyDescent="0.25">
      <c r="A86" s="644"/>
      <c r="B86" s="646"/>
      <c r="C86" s="38"/>
      <c r="D86" s="643"/>
      <c r="E86" s="641"/>
      <c r="F86" s="18" t="s">
        <v>140</v>
      </c>
      <c r="G86" s="44">
        <f>G85</f>
        <v>24530</v>
      </c>
      <c r="H86" s="12" t="str">
        <f>H84</f>
        <v>руб. х индекс потребительских цен 2020 года</v>
      </c>
      <c r="I86" s="19">
        <f>$I$84</f>
        <v>1.0397000000000001</v>
      </c>
      <c r="J86" s="12" t="str">
        <f>J85</f>
        <v>х индекс потребительских цен 2021 года</v>
      </c>
      <c r="K86" s="19">
        <f>$K$85</f>
        <v>1.0388999999999999</v>
      </c>
      <c r="L86" s="13" t="s">
        <v>135</v>
      </c>
      <c r="M86" s="19">
        <v>1.0407999999999999</v>
      </c>
      <c r="N86" s="12" t="s">
        <v>25</v>
      </c>
      <c r="O86" s="44">
        <f>ROUND((G86*I86*K86*M86),2)</f>
        <v>27576.97</v>
      </c>
      <c r="P86" s="12" t="s">
        <v>41</v>
      </c>
      <c r="Q86" s="14">
        <f>ROUNDUP((O86),-2)</f>
        <v>27600</v>
      </c>
      <c r="R86" s="15" t="s">
        <v>37</v>
      </c>
      <c r="S86" s="13"/>
      <c r="T86" s="641"/>
      <c r="U86" s="641"/>
      <c r="V86" s="641"/>
      <c r="W86" s="38"/>
      <c r="X86" s="48" t="str">
        <f>""&amp;TEXT($G$83,"0,0")&amp;" чел. х "&amp;TEXT($I$83,"0,0")&amp;" раз х "&amp;TEXT(ROUND((O86/$G$83/$I$83),2),"0,00")&amp;" руб. = "&amp;TEXT(ROUND((($G$83*$I$83*ROUND((O86/$G$83/$I$83),2))),2),"0 000,00")&amp;" руб. = "&amp;TEXT(Q86,"0 000,00")&amp;" руб."</f>
        <v>1,0 чел. х 223,0 раз х 123,66 руб. = 27 576,18 руб. = 27 600,00 руб.</v>
      </c>
    </row>
    <row r="87" spans="1:25" ht="120" collapsed="1" x14ac:dyDescent="0.25">
      <c r="A87" s="644" t="s">
        <v>31</v>
      </c>
      <c r="B87" s="645" t="s">
        <v>184</v>
      </c>
      <c r="C87" s="38"/>
      <c r="D87" s="642">
        <v>226</v>
      </c>
      <c r="E87" s="642">
        <v>244</v>
      </c>
      <c r="F87" s="639" t="s">
        <v>141</v>
      </c>
      <c r="G87" s="639"/>
      <c r="H87" s="639"/>
      <c r="I87" s="639"/>
      <c r="J87" s="639"/>
      <c r="K87" s="639"/>
      <c r="L87" s="639"/>
      <c r="M87" s="639"/>
      <c r="N87" s="639"/>
      <c r="O87" s="639"/>
      <c r="P87" s="639"/>
      <c r="Q87" s="639"/>
      <c r="R87" s="639"/>
      <c r="S87" s="13"/>
      <c r="T87" s="640">
        <f>M89</f>
        <v>144900</v>
      </c>
      <c r="U87" s="640">
        <f>O90</f>
        <v>150500</v>
      </c>
      <c r="V87" s="640">
        <f>Q91</f>
        <v>156600</v>
      </c>
      <c r="W87" s="38"/>
      <c r="X87" s="48" t="s">
        <v>185</v>
      </c>
    </row>
    <row r="88" spans="1:25" hidden="1" outlineLevel="1" x14ac:dyDescent="0.25">
      <c r="A88" s="644"/>
      <c r="B88" s="646"/>
      <c r="C88" s="38"/>
      <c r="D88" s="643"/>
      <c r="E88" s="641"/>
      <c r="F88" s="7" t="s">
        <v>144</v>
      </c>
      <c r="G88" s="44">
        <v>1</v>
      </c>
      <c r="H88" s="12" t="s">
        <v>70</v>
      </c>
      <c r="I88" s="44">
        <v>12</v>
      </c>
      <c r="J88" s="12" t="s">
        <v>63</v>
      </c>
      <c r="K88" s="44">
        <v>12066.67</v>
      </c>
      <c r="L88" s="12" t="s">
        <v>41</v>
      </c>
      <c r="M88" s="44">
        <f>ROUND((G88*I88*K88),2)</f>
        <v>144800.04</v>
      </c>
      <c r="N88" s="12" t="s">
        <v>37</v>
      </c>
      <c r="O88" s="12"/>
      <c r="P88" s="12"/>
      <c r="Q88" s="12"/>
      <c r="R88" s="13"/>
      <c r="S88" s="13"/>
      <c r="T88" s="640"/>
      <c r="U88" s="640"/>
      <c r="V88" s="640"/>
      <c r="W88" s="38"/>
      <c r="X88" s="48"/>
    </row>
    <row r="89" spans="1:25" x14ac:dyDescent="0.25">
      <c r="A89" s="644"/>
      <c r="B89" s="646"/>
      <c r="C89" s="38"/>
      <c r="D89" s="643"/>
      <c r="E89" s="641"/>
      <c r="F89" s="18" t="s">
        <v>138</v>
      </c>
      <c r="G89" s="44">
        <f>M88</f>
        <v>144800.04</v>
      </c>
      <c r="H89" s="13" t="s">
        <v>137</v>
      </c>
      <c r="I89" s="19">
        <f>1.0397-1.0397+1</f>
        <v>1</v>
      </c>
      <c r="J89" s="12" t="s">
        <v>25</v>
      </c>
      <c r="K89" s="44">
        <f>ROUND((G89*I89),2)</f>
        <v>144800.04</v>
      </c>
      <c r="L89" s="12" t="s">
        <v>41</v>
      </c>
      <c r="M89" s="14">
        <f>ROUNDUP((K89),-2)</f>
        <v>144900</v>
      </c>
      <c r="N89" s="15" t="s">
        <v>37</v>
      </c>
      <c r="O89" s="16"/>
      <c r="P89" s="16"/>
      <c r="Q89" s="16"/>
      <c r="R89" s="16"/>
      <c r="S89" s="13"/>
      <c r="T89" s="640"/>
      <c r="U89" s="640"/>
      <c r="V89" s="640"/>
      <c r="W89" s="38"/>
      <c r="X89" s="48" t="str">
        <f>""&amp;TEXT($G$88,"0,0")&amp;" кнопка х "&amp;TEXT($I$88,"0,0")&amp;" раз х "&amp;TEXT(ROUND((K89/$G$88/$I$88),2),"0 000,00")&amp;" руб. = "&amp;TEXT(ROUND((($G$88*$I$88*ROUND((K89/$G$88/$I$88),2))),2),"0 000,00")&amp;" руб. = "&amp;TEXT(M89,"0 000,00")&amp;" руб."</f>
        <v>1,0 кнопка х 12,0 раз х 12 066,67 руб. = 144 800,04 руб. = 144 900,00 руб.</v>
      </c>
    </row>
    <row r="90" spans="1:25" x14ac:dyDescent="0.25">
      <c r="A90" s="644"/>
      <c r="B90" s="646"/>
      <c r="C90" s="38"/>
      <c r="D90" s="643"/>
      <c r="E90" s="641"/>
      <c r="F90" s="18" t="s">
        <v>139</v>
      </c>
      <c r="G90" s="44">
        <f>G89</f>
        <v>144800.04</v>
      </c>
      <c r="H90" s="12" t="str">
        <f>H89</f>
        <v>руб. х индекс потребительских цен 2020 года</v>
      </c>
      <c r="I90" s="19">
        <f>$I$89</f>
        <v>1</v>
      </c>
      <c r="J90" s="13" t="s">
        <v>136</v>
      </c>
      <c r="K90" s="19">
        <v>1.0388999999999999</v>
      </c>
      <c r="L90" s="12" t="s">
        <v>25</v>
      </c>
      <c r="M90" s="44">
        <f>ROUND((G90*I90*K90),2)</f>
        <v>150432.76</v>
      </c>
      <c r="N90" s="12" t="s">
        <v>41</v>
      </c>
      <c r="O90" s="14">
        <f>ROUNDUP((M90),-2)</f>
        <v>150500</v>
      </c>
      <c r="P90" s="15" t="s">
        <v>37</v>
      </c>
      <c r="Q90" s="16"/>
      <c r="R90" s="16"/>
      <c r="S90" s="13"/>
      <c r="T90" s="640"/>
      <c r="U90" s="640"/>
      <c r="V90" s="640"/>
      <c r="W90" s="38"/>
      <c r="X90" s="48" t="str">
        <f>""&amp;TEXT($G$88,"0,0")&amp;" кнопка х "&amp;TEXT($I$88,"0,0")&amp;" раз х "&amp;TEXT(ROUND((M90/$G$88/$I$88),2),"0 000,00")&amp;" руб. = "&amp;TEXT(ROUND((($G$88*$I$88*ROUND((M90/$G$88/$I$88),2))),2),"0 000,00")&amp;" руб. = "&amp;TEXT(O90,"0 000,00")&amp;" руб."</f>
        <v>1,0 кнопка х 12,0 раз х 12 536,06 руб. = 150 432,72 руб. = 150 500,00 руб.</v>
      </c>
    </row>
    <row r="91" spans="1:25" x14ac:dyDescent="0.25">
      <c r="A91" s="644"/>
      <c r="B91" s="646"/>
      <c r="C91" s="38"/>
      <c r="D91" s="643"/>
      <c r="E91" s="641"/>
      <c r="F91" s="18" t="s">
        <v>140</v>
      </c>
      <c r="G91" s="44">
        <f>G90</f>
        <v>144800.04</v>
      </c>
      <c r="H91" s="12" t="str">
        <f>H89</f>
        <v>руб. х индекс потребительских цен 2020 года</v>
      </c>
      <c r="I91" s="19">
        <f>$I$89</f>
        <v>1</v>
      </c>
      <c r="J91" s="12" t="str">
        <f>J90</f>
        <v>х индекс потребительских цен 2021 года</v>
      </c>
      <c r="K91" s="19">
        <f>$K$90</f>
        <v>1.0388999999999999</v>
      </c>
      <c r="L91" s="13" t="s">
        <v>135</v>
      </c>
      <c r="M91" s="19">
        <v>1.0407999999999999</v>
      </c>
      <c r="N91" s="12" t="s">
        <v>25</v>
      </c>
      <c r="O91" s="44">
        <f>ROUND((G91*I91*K91*M91),2)</f>
        <v>156570.42000000001</v>
      </c>
      <c r="P91" s="12" t="s">
        <v>41</v>
      </c>
      <c r="Q91" s="14">
        <f>ROUNDUP((O91),-2)</f>
        <v>156600</v>
      </c>
      <c r="R91" s="15" t="s">
        <v>37</v>
      </c>
      <c r="S91" s="13"/>
      <c r="T91" s="641"/>
      <c r="U91" s="641"/>
      <c r="V91" s="641"/>
      <c r="W91" s="38"/>
      <c r="X91" s="48" t="str">
        <f>""&amp;TEXT($G$88,"0,0")&amp;" кнопка х "&amp;TEXT($I$88,"0,0")&amp;" раз х "&amp;TEXT(ROUND((O91/$G$88/$I$88),2),"0 000,00")&amp;" руб. = "&amp;TEXT(ROUND((($G$88*$I$88*ROUND((O91/$G$88/$I$88),2))),2),"0 000,00")&amp;" руб. = "&amp;TEXT(Q91,"0 000,00")&amp;" руб."</f>
        <v>1,0 кнопка х 12,0 раз х 13 047,54 руб. = 156 570,48 руб. = 156 600,00 руб.</v>
      </c>
    </row>
    <row r="92" spans="1:25" ht="105" collapsed="1" x14ac:dyDescent="0.25">
      <c r="A92" s="644" t="s">
        <v>131</v>
      </c>
      <c r="B92" s="645" t="s">
        <v>108</v>
      </c>
      <c r="C92" s="38"/>
      <c r="D92" s="642">
        <v>227</v>
      </c>
      <c r="E92" s="642">
        <v>244</v>
      </c>
      <c r="F92" s="639" t="s">
        <v>141</v>
      </c>
      <c r="G92" s="639"/>
      <c r="H92" s="639"/>
      <c r="I92" s="639"/>
      <c r="J92" s="639"/>
      <c r="K92" s="639"/>
      <c r="L92" s="639"/>
      <c r="M92" s="639"/>
      <c r="N92" s="639"/>
      <c r="O92" s="639"/>
      <c r="P92" s="639"/>
      <c r="Q92" s="639"/>
      <c r="R92" s="639"/>
      <c r="S92" s="13"/>
      <c r="T92" s="640">
        <f>M94</f>
        <v>10300</v>
      </c>
      <c r="U92" s="640">
        <f>O95</f>
        <v>10600</v>
      </c>
      <c r="V92" s="640">
        <f>Q96</f>
        <v>11100</v>
      </c>
      <c r="W92" s="38"/>
      <c r="X92" s="48" t="s">
        <v>71</v>
      </c>
    </row>
    <row r="93" spans="1:25" hidden="1" outlineLevel="1" x14ac:dyDescent="0.25">
      <c r="A93" s="644"/>
      <c r="B93" s="646"/>
      <c r="C93" s="38"/>
      <c r="D93" s="643"/>
      <c r="E93" s="641"/>
      <c r="F93" s="7" t="s">
        <v>144</v>
      </c>
      <c r="G93" s="44">
        <v>1</v>
      </c>
      <c r="H93" s="12" t="s">
        <v>72</v>
      </c>
      <c r="I93" s="44">
        <v>10201.92</v>
      </c>
      <c r="J93" s="12" t="s">
        <v>41</v>
      </c>
      <c r="K93" s="44">
        <f>ROUND((G93*I93),2)</f>
        <v>10201.92</v>
      </c>
      <c r="L93" s="12" t="s">
        <v>37</v>
      </c>
      <c r="M93" s="12"/>
      <c r="N93" s="12"/>
      <c r="O93" s="12"/>
      <c r="P93" s="12"/>
      <c r="Q93" s="12"/>
      <c r="R93" s="13"/>
      <c r="S93" s="13"/>
      <c r="T93" s="640"/>
      <c r="U93" s="640"/>
      <c r="V93" s="640"/>
      <c r="W93" s="38"/>
      <c r="X93" s="48"/>
    </row>
    <row r="94" spans="1:25" x14ac:dyDescent="0.25">
      <c r="A94" s="644"/>
      <c r="B94" s="646"/>
      <c r="C94" s="38"/>
      <c r="D94" s="643"/>
      <c r="E94" s="641"/>
      <c r="F94" s="18" t="s">
        <v>138</v>
      </c>
      <c r="G94" s="44">
        <f>K93</f>
        <v>10201.92</v>
      </c>
      <c r="H94" s="13" t="s">
        <v>137</v>
      </c>
      <c r="I94" s="19">
        <f>1.0397-1.0397+1</f>
        <v>1</v>
      </c>
      <c r="J94" s="12" t="s">
        <v>25</v>
      </c>
      <c r="K94" s="44">
        <f>ROUND((G94*I94),2)</f>
        <v>10201.92</v>
      </c>
      <c r="L94" s="12" t="s">
        <v>41</v>
      </c>
      <c r="M94" s="14">
        <f>ROUNDUP((K94),-2)</f>
        <v>10300</v>
      </c>
      <c r="N94" s="15" t="s">
        <v>37</v>
      </c>
      <c r="O94" s="16"/>
      <c r="P94" s="16"/>
      <c r="Q94" s="16"/>
      <c r="R94" s="16"/>
      <c r="S94" s="13"/>
      <c r="T94" s="640"/>
      <c r="U94" s="640"/>
      <c r="V94" s="640"/>
      <c r="W94" s="38"/>
      <c r="X94" s="48" t="str">
        <f>""&amp;TEXT($G$93,"0,0")&amp;" авт. х "&amp;TEXT(ROUND((K94/$G$93),2),"0 000,00")&amp;" руб. = "&amp;TEXT(ROUND(($G$93*(ROUND((K94/$G$93),2))),2),"0 000,00")&amp;" руб. = "&amp;TEXT(M94,"0 000,00")&amp;" руб."</f>
        <v>1,0 авт. х 10 201,92 руб. = 10 201,92 руб. = 10 300,00 руб.</v>
      </c>
    </row>
    <row r="95" spans="1:25" x14ac:dyDescent="0.25">
      <c r="A95" s="644"/>
      <c r="B95" s="646"/>
      <c r="C95" s="38"/>
      <c r="D95" s="643"/>
      <c r="E95" s="641"/>
      <c r="F95" s="18" t="s">
        <v>139</v>
      </c>
      <c r="G95" s="44">
        <f>G94</f>
        <v>10201.92</v>
      </c>
      <c r="H95" s="12" t="str">
        <f>H94</f>
        <v>руб. х индекс потребительских цен 2020 года</v>
      </c>
      <c r="I95" s="19">
        <f>$I$94</f>
        <v>1</v>
      </c>
      <c r="J95" s="13" t="s">
        <v>136</v>
      </c>
      <c r="K95" s="19">
        <v>1.0388999999999999</v>
      </c>
      <c r="L95" s="12" t="s">
        <v>25</v>
      </c>
      <c r="M95" s="44">
        <f>ROUND((G95*I95*K95),2)</f>
        <v>10598.77</v>
      </c>
      <c r="N95" s="12" t="s">
        <v>41</v>
      </c>
      <c r="O95" s="14">
        <f>ROUNDUP((M95),-2)</f>
        <v>10600</v>
      </c>
      <c r="P95" s="15" t="s">
        <v>37</v>
      </c>
      <c r="Q95" s="16"/>
      <c r="R95" s="16"/>
      <c r="S95" s="13"/>
      <c r="T95" s="640"/>
      <c r="U95" s="640"/>
      <c r="V95" s="640"/>
      <c r="W95" s="38"/>
      <c r="X95" s="48" t="str">
        <f>""&amp;TEXT($G$93,"0,0")&amp;" авт. х "&amp;TEXT(ROUND((M95/$G$93),2),"0 000,00")&amp;" руб. = "&amp;TEXT(ROUND(($G$93*(ROUND((M95/$G$93),2))),2),"0 000,00")&amp;" руб. = "&amp;TEXT(O95,"0 000,00")&amp;" руб."</f>
        <v>1,0 авт. х 10 598,77 руб. = 10 598,77 руб. = 10 600,00 руб.</v>
      </c>
    </row>
    <row r="96" spans="1:25" s="34" customFormat="1" x14ac:dyDescent="0.25">
      <c r="A96" s="644"/>
      <c r="B96" s="646"/>
      <c r="C96" s="38"/>
      <c r="D96" s="643"/>
      <c r="E96" s="641"/>
      <c r="F96" s="18" t="s">
        <v>140</v>
      </c>
      <c r="G96" s="44">
        <f>G95</f>
        <v>10201.92</v>
      </c>
      <c r="H96" s="12" t="str">
        <f>H94</f>
        <v>руб. х индекс потребительских цен 2020 года</v>
      </c>
      <c r="I96" s="19">
        <f>$I$94</f>
        <v>1</v>
      </c>
      <c r="J96" s="12" t="str">
        <f>J95</f>
        <v>х индекс потребительских цен 2021 года</v>
      </c>
      <c r="K96" s="19">
        <f>$K$95</f>
        <v>1.0388999999999999</v>
      </c>
      <c r="L96" s="13" t="s">
        <v>135</v>
      </c>
      <c r="M96" s="19">
        <v>1.0407999999999999</v>
      </c>
      <c r="N96" s="12" t="s">
        <v>25</v>
      </c>
      <c r="O96" s="44">
        <f>ROUND((G96*I96*K96*M96),2)</f>
        <v>11031.2</v>
      </c>
      <c r="P96" s="12" t="s">
        <v>41</v>
      </c>
      <c r="Q96" s="14">
        <f>ROUNDUP((O96),-2)</f>
        <v>11100</v>
      </c>
      <c r="R96" s="15" t="s">
        <v>37</v>
      </c>
      <c r="S96" s="13"/>
      <c r="T96" s="641"/>
      <c r="U96" s="641"/>
      <c r="V96" s="641"/>
      <c r="W96" s="38"/>
      <c r="X96" s="48" t="str">
        <f>""&amp;TEXT($G$93,"0,0")&amp;" авт. х "&amp;TEXT(ROUND((O96/$G$93),2),"0 000,00")&amp;" руб. = "&amp;TEXT(ROUND(($G$93*(ROUND((O96/$G$93),2))),2),"0 000,00")&amp;" руб. = "&amp;TEXT(Q96,"0 000,00")&amp;" руб."</f>
        <v>1,0 авт. х 11 031,20 руб. = 11 031,20 руб. = 11 100,00 руб.</v>
      </c>
      <c r="Y96" s="33"/>
    </row>
    <row r="97" spans="1:25" s="34" customFormat="1" ht="75" x14ac:dyDescent="0.25">
      <c r="A97" s="42" t="s">
        <v>14</v>
      </c>
      <c r="B97" s="49" t="s">
        <v>101</v>
      </c>
      <c r="C97" s="47"/>
      <c r="D97" s="45" t="s">
        <v>35</v>
      </c>
      <c r="E97" s="45" t="s">
        <v>35</v>
      </c>
      <c r="F97" s="659"/>
      <c r="G97" s="660"/>
      <c r="H97" s="660"/>
      <c r="I97" s="660"/>
      <c r="J97" s="660"/>
      <c r="K97" s="660"/>
      <c r="L97" s="660"/>
      <c r="M97" s="660"/>
      <c r="N97" s="660"/>
      <c r="O97" s="660"/>
      <c r="P97" s="660"/>
      <c r="Q97" s="660"/>
      <c r="R97" s="660"/>
      <c r="S97" s="660"/>
      <c r="T97" s="35">
        <f>SUM(T98,T102,T107)</f>
        <v>1761200</v>
      </c>
      <c r="U97" s="35">
        <f>SUM(U98,U102,U107)</f>
        <v>1074400</v>
      </c>
      <c r="V97" s="35">
        <f>SUM(V98,V102,V107)</f>
        <v>1117400</v>
      </c>
      <c r="W97" s="47"/>
      <c r="X97" s="43" t="str">
        <f>"Нормативные "&amp;TEXT(B97,"0")&amp;" включают в себя:
нормативные "&amp;TEXT(B98,"0")&amp;";
нормативные "&amp;TEXT(B102,"0")&amp;";
нормативные "&amp;TEXT(B107,"0")&amp;""</f>
        <v>Нормативные затраты на приобретение основных средств включают в себя:
нормативные затраты на приобретение мебели;
нормативные затраты на приобретение систем кондиционирования;
нормативные затраты на приобретение прочих основных средств (калькулятор, вентилятор, электрочайник, микроволновая печь, холодильник и т.п.)</v>
      </c>
    </row>
    <row r="98" spans="1:25" s="34" customFormat="1" ht="105" x14ac:dyDescent="0.25">
      <c r="A98" s="647" t="s">
        <v>15</v>
      </c>
      <c r="B98" s="681" t="s">
        <v>102</v>
      </c>
      <c r="C98" s="38"/>
      <c r="D98" s="678">
        <v>310</v>
      </c>
      <c r="E98" s="678">
        <v>244</v>
      </c>
      <c r="F98" s="675" t="s">
        <v>53</v>
      </c>
      <c r="G98" s="676"/>
      <c r="H98" s="676"/>
      <c r="I98" s="676"/>
      <c r="J98" s="676"/>
      <c r="K98" s="676"/>
      <c r="L98" s="676"/>
      <c r="M98" s="676"/>
      <c r="N98" s="676"/>
      <c r="O98" s="676"/>
      <c r="P98" s="676"/>
      <c r="Q98" s="676"/>
      <c r="R98" s="677"/>
      <c r="S98" s="13"/>
      <c r="T98" s="671">
        <f>Q99</f>
        <v>1033100</v>
      </c>
      <c r="U98" s="671">
        <f>Q100</f>
        <v>1074400</v>
      </c>
      <c r="V98" s="671">
        <f>Q101</f>
        <v>1117400</v>
      </c>
      <c r="W98" s="38"/>
      <c r="X98" s="48" t="s">
        <v>54</v>
      </c>
    </row>
    <row r="99" spans="1:25" s="34" customFormat="1" x14ac:dyDescent="0.25">
      <c r="A99" s="648"/>
      <c r="B99" s="682"/>
      <c r="C99" s="38"/>
      <c r="D99" s="679"/>
      <c r="E99" s="679"/>
      <c r="F99" s="18" t="s">
        <v>157</v>
      </c>
      <c r="G99" s="44">
        <v>38803</v>
      </c>
      <c r="H99" s="12" t="s">
        <v>42</v>
      </c>
      <c r="I99" s="44">
        <v>213</v>
      </c>
      <c r="J99" s="12" t="s">
        <v>45</v>
      </c>
      <c r="K99" s="44">
        <v>8</v>
      </c>
      <c r="L99" s="12" t="s">
        <v>43</v>
      </c>
      <c r="M99" s="44">
        <v>0</v>
      </c>
      <c r="N99" s="12" t="s">
        <v>44</v>
      </c>
      <c r="O99" s="44">
        <f>ROUND((G99*(I99/K99+M99)),2)</f>
        <v>1033129.88</v>
      </c>
      <c r="P99" s="12" t="s">
        <v>41</v>
      </c>
      <c r="Q99" s="14">
        <f>ROUNDDOWN((O99),-2)</f>
        <v>1033100</v>
      </c>
      <c r="R99" s="15" t="s">
        <v>37</v>
      </c>
      <c r="S99" s="13"/>
      <c r="T99" s="672"/>
      <c r="U99" s="672"/>
      <c r="V99" s="672"/>
      <c r="W99" s="38"/>
      <c r="X99" s="48" t="str">
        <f>"норматив "&amp;TEXT(G99,"0 000,00")&amp;" руб. х ("&amp;TEXT(I99,"000,00")&amp;" шт.ед. : срок "&amp;TEXT(K99,"0")&amp;" лет + "&amp;TEXT(M99,"0,00")&amp;" шт.ед.) = "&amp;TEXT(O99,"0 000,00")&amp;" руб. = "&amp;TEXT(Q99,"0 000,00")&amp;" руб."</f>
        <v>норматив 38 803,00 руб. х (213,00 шт.ед. : срок 8 лет + 0,00 шт.ед.) = 1 033 129,88 руб. = 1 033 100,00 руб.</v>
      </c>
      <c r="Y99" s="33"/>
    </row>
    <row r="100" spans="1:25" s="34" customFormat="1" x14ac:dyDescent="0.25">
      <c r="A100" s="648"/>
      <c r="B100" s="682"/>
      <c r="C100" s="38"/>
      <c r="D100" s="679"/>
      <c r="E100" s="679"/>
      <c r="F100" s="18" t="s">
        <v>158</v>
      </c>
      <c r="G100" s="44">
        <v>40355</v>
      </c>
      <c r="H100" s="12" t="s">
        <v>42</v>
      </c>
      <c r="I100" s="44">
        <v>213</v>
      </c>
      <c r="J100" s="12" t="s">
        <v>45</v>
      </c>
      <c r="K100" s="44">
        <v>8</v>
      </c>
      <c r="L100" s="12" t="s">
        <v>43</v>
      </c>
      <c r="M100" s="44">
        <v>0</v>
      </c>
      <c r="N100" s="12" t="s">
        <v>44</v>
      </c>
      <c r="O100" s="44">
        <f>ROUND((G100*(I100/K100+M100)),2)</f>
        <v>1074451.8799999999</v>
      </c>
      <c r="P100" s="12" t="s">
        <v>41</v>
      </c>
      <c r="Q100" s="14">
        <f>ROUNDDOWN((O100),-2)</f>
        <v>1074400</v>
      </c>
      <c r="R100" s="15" t="s">
        <v>37</v>
      </c>
      <c r="S100" s="13"/>
      <c r="T100" s="672"/>
      <c r="U100" s="672"/>
      <c r="V100" s="672"/>
      <c r="W100" s="38"/>
      <c r="X100" s="48" t="str">
        <f t="shared" ref="X100:X101" si="4">"норматив "&amp;TEXT(G100,"0 000,00")&amp;" руб. х ("&amp;TEXT(I100,"000,00")&amp;" шт.ед. : срок "&amp;TEXT(K100,"0")&amp;" лет + "&amp;TEXT(M100,"0,00")&amp;" шт.ед.) = "&amp;TEXT(O100,"0 000,00")&amp;" руб. = "&amp;TEXT(Q100,"0 000,00")&amp;" руб."</f>
        <v>норматив 40 355,00 руб. х (213,00 шт.ед. : срок 8 лет + 0,00 шт.ед.) = 1 074 451,88 руб. = 1 074 400,00 руб.</v>
      </c>
      <c r="Y100" s="33"/>
    </row>
    <row r="101" spans="1:25" s="34" customFormat="1" x14ac:dyDescent="0.25">
      <c r="A101" s="649"/>
      <c r="B101" s="683"/>
      <c r="C101" s="38"/>
      <c r="D101" s="680"/>
      <c r="E101" s="680"/>
      <c r="F101" s="18" t="s">
        <v>159</v>
      </c>
      <c r="G101" s="44">
        <v>41969</v>
      </c>
      <c r="H101" s="12" t="s">
        <v>42</v>
      </c>
      <c r="I101" s="44">
        <v>213</v>
      </c>
      <c r="J101" s="12" t="s">
        <v>45</v>
      </c>
      <c r="K101" s="44">
        <v>8</v>
      </c>
      <c r="L101" s="12" t="s">
        <v>43</v>
      </c>
      <c r="M101" s="44">
        <v>0</v>
      </c>
      <c r="N101" s="12" t="s">
        <v>44</v>
      </c>
      <c r="O101" s="44">
        <f>ROUND((G101*(I101/K101+M101)),2)</f>
        <v>1117424.6299999999</v>
      </c>
      <c r="P101" s="12" t="s">
        <v>41</v>
      </c>
      <c r="Q101" s="14">
        <f>ROUNDDOWN((O101),-2)</f>
        <v>1117400</v>
      </c>
      <c r="R101" s="15" t="s">
        <v>37</v>
      </c>
      <c r="S101" s="7"/>
      <c r="T101" s="673"/>
      <c r="U101" s="673"/>
      <c r="V101" s="673"/>
      <c r="W101" s="38"/>
      <c r="X101" s="48" t="str">
        <f t="shared" si="4"/>
        <v>норматив 41 969,00 руб. х (213,00 шт.ед. : срок 8 лет + 0,00 шт.ед.) = 1 117 424,63 руб. = 1 117 400,00 руб.</v>
      </c>
    </row>
    <row r="102" spans="1:25" ht="75" collapsed="1" x14ac:dyDescent="0.25">
      <c r="A102" s="647" t="s">
        <v>181</v>
      </c>
      <c r="B102" s="650" t="s">
        <v>147</v>
      </c>
      <c r="C102" s="38"/>
      <c r="D102" s="642">
        <v>310</v>
      </c>
      <c r="E102" s="642">
        <v>244</v>
      </c>
      <c r="F102" s="655" t="s">
        <v>168</v>
      </c>
      <c r="G102" s="655"/>
      <c r="H102" s="655"/>
      <c r="I102" s="655"/>
      <c r="J102" s="655"/>
      <c r="K102" s="655"/>
      <c r="L102" s="655"/>
      <c r="M102" s="655"/>
      <c r="N102" s="655"/>
      <c r="O102" s="655"/>
      <c r="P102" s="655"/>
      <c r="Q102" s="655"/>
      <c r="R102" s="655"/>
      <c r="S102" s="13"/>
      <c r="T102" s="640">
        <f>M104</f>
        <v>681600</v>
      </c>
      <c r="U102" s="640">
        <f>O105</f>
        <v>0</v>
      </c>
      <c r="V102" s="640">
        <f>Q106</f>
        <v>0</v>
      </c>
      <c r="W102" s="38"/>
      <c r="X102" s="48" t="s">
        <v>169</v>
      </c>
    </row>
    <row r="103" spans="1:25" hidden="1" outlineLevel="1" x14ac:dyDescent="0.25">
      <c r="A103" s="648"/>
      <c r="B103" s="651"/>
      <c r="C103" s="38"/>
      <c r="D103" s="642"/>
      <c r="E103" s="642"/>
      <c r="F103" s="7" t="s">
        <v>144</v>
      </c>
      <c r="G103" s="44">
        <v>15</v>
      </c>
      <c r="H103" s="12" t="s">
        <v>78</v>
      </c>
      <c r="I103" s="44">
        <v>45436.56</v>
      </c>
      <c r="J103" s="12" t="s">
        <v>41</v>
      </c>
      <c r="K103" s="44">
        <f>ROUND((G103*I103),2)</f>
        <v>681548.4</v>
      </c>
      <c r="L103" s="12" t="s">
        <v>37</v>
      </c>
      <c r="M103" s="12"/>
      <c r="N103" s="12"/>
      <c r="O103" s="12"/>
      <c r="P103" s="12"/>
      <c r="Q103" s="12"/>
      <c r="R103" s="13"/>
      <c r="S103" s="13"/>
      <c r="T103" s="640"/>
      <c r="U103" s="640"/>
      <c r="V103" s="640"/>
      <c r="W103" s="38"/>
      <c r="X103" s="48"/>
    </row>
    <row r="104" spans="1:25" collapsed="1" x14ac:dyDescent="0.25">
      <c r="A104" s="648"/>
      <c r="B104" s="652"/>
      <c r="C104" s="38"/>
      <c r="D104" s="654"/>
      <c r="E104" s="654"/>
      <c r="F104" s="18" t="s">
        <v>138</v>
      </c>
      <c r="G104" s="44">
        <f>K103</f>
        <v>681548.4</v>
      </c>
      <c r="H104" s="13" t="s">
        <v>137</v>
      </c>
      <c r="I104" s="19">
        <f>1.0397-1.0397+1</f>
        <v>1</v>
      </c>
      <c r="J104" s="12" t="s">
        <v>25</v>
      </c>
      <c r="K104" s="44">
        <f>ROUND((G104*I104),2)</f>
        <v>681548.4</v>
      </c>
      <c r="L104" s="12" t="s">
        <v>41</v>
      </c>
      <c r="M104" s="14">
        <f>ROUNDUP((K104),-2)</f>
        <v>681600</v>
      </c>
      <c r="N104" s="15" t="s">
        <v>37</v>
      </c>
      <c r="O104" s="12"/>
      <c r="P104" s="12"/>
      <c r="Q104" s="12"/>
      <c r="R104" s="13"/>
      <c r="S104" s="13"/>
      <c r="T104" s="640"/>
      <c r="U104" s="640"/>
      <c r="V104" s="640"/>
      <c r="W104" s="38"/>
      <c r="X104" s="48" t="str">
        <f>""&amp;TEXT($G$103,"0,0")&amp;" шт. х "&amp;TEXT(ROUND((K104/$G$103),2),"0 000,00")&amp;" руб. = "&amp;TEXT(ROUND(($G$103*(ROUND((K104/$G$103),2))),2),"0 000,00")&amp;" руб. = "&amp;TEXT(M104,"0 000,00")&amp;" руб."</f>
        <v>15,0 шт. х 45 436,56 руб. = 681 548,40 руб. = 681 600,00 руб.</v>
      </c>
    </row>
    <row r="105" spans="1:25" hidden="1" outlineLevel="1" x14ac:dyDescent="0.25">
      <c r="A105" s="648"/>
      <c r="B105" s="652"/>
      <c r="C105" s="38"/>
      <c r="D105" s="654"/>
      <c r="E105" s="654"/>
      <c r="F105" s="18" t="s">
        <v>139</v>
      </c>
      <c r="G105" s="44">
        <f>G104</f>
        <v>681548.4</v>
      </c>
      <c r="H105" s="12" t="str">
        <f>H104</f>
        <v>руб. х индекс потребительских цен 2020 года</v>
      </c>
      <c r="I105" s="19">
        <f>$I$104</f>
        <v>1</v>
      </c>
      <c r="J105" s="13" t="s">
        <v>136</v>
      </c>
      <c r="K105" s="19">
        <v>1.0388999999999999</v>
      </c>
      <c r="L105" s="12" t="s">
        <v>25</v>
      </c>
      <c r="M105" s="37">
        <f>ROUND((G105*I105*K105),2)-ROUND((G105*I105*K105),2)</f>
        <v>0</v>
      </c>
      <c r="N105" s="12" t="s">
        <v>41</v>
      </c>
      <c r="O105" s="20">
        <f>ROUNDUP((M105),-2)-ROUNDUP((M105),-2)</f>
        <v>0</v>
      </c>
      <c r="P105" s="15" t="s">
        <v>37</v>
      </c>
      <c r="Q105" s="31" t="s">
        <v>166</v>
      </c>
      <c r="R105" s="12"/>
      <c r="S105" s="13"/>
      <c r="T105" s="640"/>
      <c r="U105" s="640"/>
      <c r="V105" s="640"/>
      <c r="W105" s="38"/>
      <c r="X105" s="32" t="str">
        <f>""&amp;TEXT($G$103,"0,0")&amp;" шт. х "&amp;TEXT(ROUND((M105/$G$103),2),"0 000,00")&amp;" руб. = "&amp;TEXT(ROUND(($G$103*(ROUND((M105/$G$103),2))),2),"0 000,00")&amp;" руб. = "&amp;TEXT(O105,"0 000,00")&amp;" руб."</f>
        <v>15,0 шт. х 0 000,00 руб. = 0 000,00 руб. = 0 000,00 руб.</v>
      </c>
    </row>
    <row r="106" spans="1:25" hidden="1" outlineLevel="1" x14ac:dyDescent="0.25">
      <c r="A106" s="649"/>
      <c r="B106" s="653"/>
      <c r="C106" s="38"/>
      <c r="D106" s="654"/>
      <c r="E106" s="654"/>
      <c r="F106" s="18" t="s">
        <v>140</v>
      </c>
      <c r="G106" s="44">
        <f>G105</f>
        <v>681548.4</v>
      </c>
      <c r="H106" s="12" t="str">
        <f>H104</f>
        <v>руб. х индекс потребительских цен 2020 года</v>
      </c>
      <c r="I106" s="19">
        <f>$I$104</f>
        <v>1</v>
      </c>
      <c r="J106" s="12" t="str">
        <f>J105</f>
        <v>х индекс потребительских цен 2021 года</v>
      </c>
      <c r="K106" s="19">
        <f>$K$105</f>
        <v>1.0388999999999999</v>
      </c>
      <c r="L106" s="13" t="s">
        <v>135</v>
      </c>
      <c r="M106" s="19">
        <v>1.0407999999999999</v>
      </c>
      <c r="N106" s="12" t="s">
        <v>25</v>
      </c>
      <c r="O106" s="37">
        <f>ROUND((G106*I106*K106*M106),2)-ROUND((G106*I106*K106*M106),2)</f>
        <v>0</v>
      </c>
      <c r="P106" s="12" t="s">
        <v>41</v>
      </c>
      <c r="Q106" s="20">
        <f>ROUNDUP((O106),-2)-ROUNDUP((O106),-2)</f>
        <v>0</v>
      </c>
      <c r="R106" s="15" t="s">
        <v>37</v>
      </c>
      <c r="S106" s="13"/>
      <c r="T106" s="640"/>
      <c r="U106" s="640"/>
      <c r="V106" s="640"/>
      <c r="W106" s="38"/>
      <c r="X106" s="32" t="str">
        <f>""&amp;TEXT($G$103,"0,0")&amp;" шт. х "&amp;TEXT(ROUND((O106/$G$103),2),"0 000,00")&amp;" руб. = "&amp;TEXT(ROUND(($G$103*(ROUND((O106/$G$103),2))),2),"0 000,00")&amp;" руб. = "&amp;TEXT(Q106,"0 000,00")&amp;" руб."</f>
        <v>15,0 шт. х 0 000,00 руб. = 0 000,00 руб. = 0 000,00 руб.</v>
      </c>
    </row>
    <row r="107" spans="1:25" ht="75" collapsed="1" x14ac:dyDescent="0.25">
      <c r="A107" s="647" t="s">
        <v>173</v>
      </c>
      <c r="B107" s="650" t="s">
        <v>167</v>
      </c>
      <c r="C107" s="38"/>
      <c r="D107" s="642">
        <v>310</v>
      </c>
      <c r="E107" s="642">
        <v>244</v>
      </c>
      <c r="F107" s="655" t="s">
        <v>168</v>
      </c>
      <c r="G107" s="655"/>
      <c r="H107" s="655"/>
      <c r="I107" s="655"/>
      <c r="J107" s="655"/>
      <c r="K107" s="655"/>
      <c r="L107" s="655"/>
      <c r="M107" s="655"/>
      <c r="N107" s="655"/>
      <c r="O107" s="655"/>
      <c r="P107" s="655"/>
      <c r="Q107" s="655"/>
      <c r="R107" s="655"/>
      <c r="S107" s="13"/>
      <c r="T107" s="640">
        <f>M109</f>
        <v>46500</v>
      </c>
      <c r="U107" s="640">
        <f>M110</f>
        <v>0</v>
      </c>
      <c r="V107" s="640">
        <f>O111</f>
        <v>0</v>
      </c>
      <c r="W107" s="38"/>
      <c r="X107" s="48" t="s">
        <v>170</v>
      </c>
    </row>
    <row r="108" spans="1:25" hidden="1" outlineLevel="1" x14ac:dyDescent="0.25">
      <c r="A108" s="648"/>
      <c r="B108" s="652"/>
      <c r="C108" s="38"/>
      <c r="D108" s="654"/>
      <c r="E108" s="654"/>
      <c r="F108" s="7" t="s">
        <v>144</v>
      </c>
      <c r="G108" s="44">
        <v>50</v>
      </c>
      <c r="H108" s="12" t="s">
        <v>78</v>
      </c>
      <c r="I108" s="44">
        <v>929.76</v>
      </c>
      <c r="J108" s="12" t="s">
        <v>41</v>
      </c>
      <c r="K108" s="44">
        <f>ROUND((G108*I108),2)</f>
        <v>46488</v>
      </c>
      <c r="L108" s="12" t="s">
        <v>37</v>
      </c>
      <c r="M108" s="12"/>
      <c r="N108" s="12"/>
      <c r="O108" s="12"/>
      <c r="P108" s="12"/>
      <c r="Q108" s="12"/>
      <c r="R108" s="13"/>
      <c r="S108" s="13"/>
      <c r="T108" s="640"/>
      <c r="U108" s="640"/>
      <c r="V108" s="640"/>
      <c r="W108" s="38"/>
    </row>
    <row r="109" spans="1:25" collapsed="1" x14ac:dyDescent="0.25">
      <c r="A109" s="648"/>
      <c r="B109" s="652"/>
      <c r="C109" s="38"/>
      <c r="D109" s="654"/>
      <c r="E109" s="654"/>
      <c r="F109" s="18" t="s">
        <v>138</v>
      </c>
      <c r="G109" s="44">
        <f>K108</f>
        <v>46488</v>
      </c>
      <c r="H109" s="13" t="s">
        <v>137</v>
      </c>
      <c r="I109" s="19">
        <f>1.0397-1.0397+1</f>
        <v>1</v>
      </c>
      <c r="J109" s="12" t="s">
        <v>25</v>
      </c>
      <c r="K109" s="44">
        <f>ROUND((G109*I109),2)</f>
        <v>46488</v>
      </c>
      <c r="L109" s="12" t="s">
        <v>41</v>
      </c>
      <c r="M109" s="14">
        <f>ROUNDUP((K109),-2)</f>
        <v>46500</v>
      </c>
      <c r="N109" s="15" t="s">
        <v>37</v>
      </c>
      <c r="O109" s="12"/>
      <c r="P109" s="12"/>
      <c r="Q109" s="12"/>
      <c r="R109" s="13"/>
      <c r="S109" s="13"/>
      <c r="T109" s="640"/>
      <c r="U109" s="640"/>
      <c r="V109" s="640"/>
      <c r="W109" s="38"/>
      <c r="X109" s="48" t="str">
        <f>""&amp;TEXT($G$108,"0,0")&amp;" шт. х "&amp;TEXT(ROUND((K109/$G$108),2),"000,00")&amp;" руб. = "&amp;TEXT(ROUND(($G$108*(ROUND((K109/$G$108),2))),2),"0 000,00")&amp;" руб. = "&amp;TEXT(M109,"0 000,00")&amp;" руб."</f>
        <v>50,0 шт. х 929,76 руб. = 46 488,00 руб. = 46 500,00 руб.</v>
      </c>
    </row>
    <row r="110" spans="1:25" hidden="1" outlineLevel="1" x14ac:dyDescent="0.25">
      <c r="A110" s="648"/>
      <c r="B110" s="652"/>
      <c r="C110" s="38"/>
      <c r="D110" s="654"/>
      <c r="E110" s="654"/>
      <c r="F110" s="18" t="s">
        <v>139</v>
      </c>
      <c r="G110" s="44">
        <f>G109</f>
        <v>46488</v>
      </c>
      <c r="H110" s="12" t="str">
        <f>H109</f>
        <v>руб. х индекс потребительских цен 2020 года</v>
      </c>
      <c r="I110" s="19">
        <f>$I$109</f>
        <v>1</v>
      </c>
      <c r="J110" s="13" t="s">
        <v>136</v>
      </c>
      <c r="K110" s="19">
        <v>1.0388999999999999</v>
      </c>
      <c r="L110" s="12" t="s">
        <v>25</v>
      </c>
      <c r="M110" s="37">
        <f>ROUND((G110*I110*K110),2)-ROUND((G110*I110*K110),2)</f>
        <v>0</v>
      </c>
      <c r="N110" s="12" t="s">
        <v>41</v>
      </c>
      <c r="O110" s="20">
        <f>ROUNDUP((M110),-2)-ROUNDUP((M110),-2)</f>
        <v>0</v>
      </c>
      <c r="P110" s="15" t="s">
        <v>37</v>
      </c>
      <c r="Q110" s="31" t="s">
        <v>166</v>
      </c>
      <c r="R110" s="12"/>
      <c r="S110" s="13"/>
      <c r="T110" s="640"/>
      <c r="U110" s="640"/>
      <c r="V110" s="640"/>
      <c r="W110" s="38"/>
      <c r="X110" s="32" t="str">
        <f>""&amp;TEXT($G$108,"0,0")&amp;" шт. х "&amp;TEXT(ROUND((M110/$G$108),2),"000,00")&amp;" руб. = "&amp;TEXT(ROUND(($G$108*(ROUND((M110/$G$108),2))),2),"0 000,00")&amp;" руб. = "&amp;TEXT(O110,"0 000,00")&amp;" руб."</f>
        <v>50,0 шт. х 000,00 руб. = 0 000,00 руб. = 0 000,00 руб.</v>
      </c>
    </row>
    <row r="111" spans="1:25" hidden="1" outlineLevel="1" x14ac:dyDescent="0.25">
      <c r="A111" s="649"/>
      <c r="B111" s="653"/>
      <c r="C111" s="38"/>
      <c r="D111" s="654"/>
      <c r="E111" s="654"/>
      <c r="F111" s="18" t="s">
        <v>140</v>
      </c>
      <c r="G111" s="44">
        <f>G110</f>
        <v>46488</v>
      </c>
      <c r="H111" s="12" t="str">
        <f>H109</f>
        <v>руб. х индекс потребительских цен 2020 года</v>
      </c>
      <c r="I111" s="19">
        <f>$I$109</f>
        <v>1</v>
      </c>
      <c r="J111" s="12" t="str">
        <f>J110</f>
        <v>х индекс потребительских цен 2021 года</v>
      </c>
      <c r="K111" s="19">
        <f>$K$110</f>
        <v>1.0388999999999999</v>
      </c>
      <c r="L111" s="13" t="s">
        <v>135</v>
      </c>
      <c r="M111" s="19">
        <v>1.0407999999999999</v>
      </c>
      <c r="N111" s="12" t="s">
        <v>25</v>
      </c>
      <c r="O111" s="37">
        <f>ROUND((G111*I111*K111*M111),2)-ROUND((G111*I111*K111*M111),2)</f>
        <v>0</v>
      </c>
      <c r="P111" s="12" t="s">
        <v>41</v>
      </c>
      <c r="Q111" s="20">
        <f>ROUNDUP((O111),-2)-ROUNDUP((O111),-2)</f>
        <v>0</v>
      </c>
      <c r="R111" s="15" t="s">
        <v>37</v>
      </c>
      <c r="S111" s="13"/>
      <c r="T111" s="640"/>
      <c r="U111" s="640"/>
      <c r="V111" s="640"/>
      <c r="W111" s="38"/>
      <c r="X111" s="32" t="str">
        <f>""&amp;TEXT($G$108,"0,0")&amp;" шт. х "&amp;TEXT(ROUND((O111/$G$108),2),"000,00")&amp;" руб. = "&amp;TEXT(ROUND(($G$108*(ROUND((O111/$G$108),2))),2),"0 000,00")&amp;" руб. = "&amp;TEXT(Q111,"0 000,00")&amp;" руб."</f>
        <v>50,0 шт. х 000,00 руб. = 0 000,00 руб. = 0 000,00 руб.</v>
      </c>
    </row>
    <row r="112" spans="1:25" ht="75" x14ac:dyDescent="0.25">
      <c r="A112" s="39" t="s">
        <v>16</v>
      </c>
      <c r="B112" s="40" t="s">
        <v>97</v>
      </c>
      <c r="C112" s="47"/>
      <c r="D112" s="45" t="s">
        <v>35</v>
      </c>
      <c r="E112" s="45" t="s">
        <v>35</v>
      </c>
      <c r="F112" s="659"/>
      <c r="G112" s="660"/>
      <c r="H112" s="660"/>
      <c r="I112" s="660"/>
      <c r="J112" s="660"/>
      <c r="K112" s="660"/>
      <c r="L112" s="660"/>
      <c r="M112" s="660"/>
      <c r="N112" s="660"/>
      <c r="O112" s="660"/>
      <c r="P112" s="660"/>
      <c r="Q112" s="660"/>
      <c r="R112" s="660"/>
      <c r="S112" s="660"/>
      <c r="T112" s="47">
        <f>SUM(T113,T117,T121)</f>
        <v>2514600</v>
      </c>
      <c r="U112" s="47">
        <f>SUM(U113,U117,U121)</f>
        <v>2621300</v>
      </c>
      <c r="V112" s="47">
        <f>SUM(V113,V117,V121)</f>
        <v>2731800</v>
      </c>
      <c r="W112" s="47"/>
      <c r="X112" s="48" t="str">
        <f>"Нормативные "&amp;TEXT(B112,"0")&amp;" включают в себя:
нормативные "&amp;TEXT(B113,"0")&amp;";
нормативные "&amp;TEXT(B117,"0")&amp;";
нормативные "&amp;TEXT(B121,"0")&amp;""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канцелярских принадлежностей;
нормативные затраты на приобретение хозяйственных товаров и принадлежностей;
нормативные затраты на приобретение горюче-смазочных материалов</v>
      </c>
    </row>
    <row r="113" spans="1:24" ht="75" x14ac:dyDescent="0.25">
      <c r="A113" s="644" t="s">
        <v>17</v>
      </c>
      <c r="B113" s="645" t="s">
        <v>98</v>
      </c>
      <c r="C113" s="38"/>
      <c r="D113" s="642">
        <v>346</v>
      </c>
      <c r="E113" s="642">
        <v>244</v>
      </c>
      <c r="F113" s="639" t="s">
        <v>55</v>
      </c>
      <c r="G113" s="639"/>
      <c r="H113" s="639"/>
      <c r="I113" s="639"/>
      <c r="J113" s="639"/>
      <c r="K113" s="639"/>
      <c r="L113" s="639"/>
      <c r="M113" s="639"/>
      <c r="N113" s="639"/>
      <c r="O113" s="639"/>
      <c r="P113" s="639"/>
      <c r="Q113" s="639"/>
      <c r="R113" s="639"/>
      <c r="S113" s="13"/>
      <c r="T113" s="640">
        <f>M114</f>
        <v>2272200</v>
      </c>
      <c r="U113" s="640">
        <f>M115</f>
        <v>2363200</v>
      </c>
      <c r="V113" s="640">
        <f>M116</f>
        <v>2457800</v>
      </c>
      <c r="W113" s="38"/>
      <c r="X113" s="48" t="s">
        <v>56</v>
      </c>
    </row>
    <row r="114" spans="1:24" x14ac:dyDescent="0.25">
      <c r="A114" s="644"/>
      <c r="B114" s="646"/>
      <c r="C114" s="38"/>
      <c r="D114" s="643"/>
      <c r="E114" s="643"/>
      <c r="F114" s="18" t="s">
        <v>149</v>
      </c>
      <c r="G114" s="44">
        <v>213</v>
      </c>
      <c r="H114" s="12" t="s">
        <v>48</v>
      </c>
      <c r="I114" s="44">
        <v>10668</v>
      </c>
      <c r="J114" s="12" t="s">
        <v>41</v>
      </c>
      <c r="K114" s="44">
        <f>ROUND((G114*I114),2)</f>
        <v>2272284</v>
      </c>
      <c r="L114" s="12" t="s">
        <v>41</v>
      </c>
      <c r="M114" s="14">
        <f>ROUNDDOWN((K114),-2)</f>
        <v>2272200</v>
      </c>
      <c r="N114" s="15" t="s">
        <v>37</v>
      </c>
      <c r="O114" s="12"/>
      <c r="P114" s="12"/>
      <c r="Q114" s="12"/>
      <c r="R114" s="13"/>
      <c r="S114" s="13"/>
      <c r="T114" s="640"/>
      <c r="U114" s="640"/>
      <c r="V114" s="640"/>
      <c r="W114" s="38"/>
      <c r="X114" s="48" t="str">
        <f>""&amp;TEXT(G114,"000,00")&amp;" шт.ед. х норматив "&amp;TEXT(I114,"0 000,00")&amp;" руб. = "&amp;TEXT(K114,"0 000,00")&amp;" руб. = "&amp;TEXT(M114,"0 000,00")&amp;" руб."</f>
        <v>213,00 шт.ед. х норматив 10 668,00 руб. = 2 272 284,00 руб. = 2 272 200,00 руб.</v>
      </c>
    </row>
    <row r="115" spans="1:24" x14ac:dyDescent="0.25">
      <c r="A115" s="644"/>
      <c r="B115" s="646"/>
      <c r="C115" s="38"/>
      <c r="D115" s="643"/>
      <c r="E115" s="643"/>
      <c r="F115" s="18" t="s">
        <v>150</v>
      </c>
      <c r="G115" s="44">
        <v>213</v>
      </c>
      <c r="H115" s="12" t="s">
        <v>48</v>
      </c>
      <c r="I115" s="44">
        <v>11095</v>
      </c>
      <c r="J115" s="12" t="s">
        <v>41</v>
      </c>
      <c r="K115" s="44">
        <f t="shared" ref="K115:K116" si="5">ROUND((G115*I115),2)</f>
        <v>2363235</v>
      </c>
      <c r="L115" s="12" t="s">
        <v>41</v>
      </c>
      <c r="M115" s="14">
        <f t="shared" ref="M115:M116" si="6">ROUNDDOWN((K115),-2)</f>
        <v>2363200</v>
      </c>
      <c r="N115" s="15" t="s">
        <v>37</v>
      </c>
      <c r="O115" s="12"/>
      <c r="P115" s="12"/>
      <c r="Q115" s="12"/>
      <c r="R115" s="13"/>
      <c r="S115" s="13"/>
      <c r="T115" s="640"/>
      <c r="U115" s="640"/>
      <c r="V115" s="640"/>
      <c r="W115" s="38"/>
      <c r="X115" s="48" t="str">
        <f>""&amp;TEXT(G115,"000,00")&amp;" шт.ед. х норматив "&amp;TEXT(I115,"0 000,00")&amp;" руб. = "&amp;TEXT(K115,"0 000,00")&amp;" руб. = "&amp;TEXT(M115,"0 000,00")&amp;" руб."</f>
        <v>213,00 шт.ед. х норматив 11 095,00 руб. = 2 363 235,00 руб. = 2 363 200,00 руб.</v>
      </c>
    </row>
    <row r="116" spans="1:24" x14ac:dyDescent="0.25">
      <c r="A116" s="644"/>
      <c r="B116" s="646"/>
      <c r="C116" s="38"/>
      <c r="D116" s="643"/>
      <c r="E116" s="643"/>
      <c r="F116" s="18" t="s">
        <v>151</v>
      </c>
      <c r="G116" s="44">
        <v>213</v>
      </c>
      <c r="H116" s="12" t="s">
        <v>48</v>
      </c>
      <c r="I116" s="44">
        <v>11539</v>
      </c>
      <c r="J116" s="12" t="s">
        <v>41</v>
      </c>
      <c r="K116" s="44">
        <f t="shared" si="5"/>
        <v>2457807</v>
      </c>
      <c r="L116" s="12" t="s">
        <v>41</v>
      </c>
      <c r="M116" s="14">
        <f t="shared" si="6"/>
        <v>2457800</v>
      </c>
      <c r="N116" s="15" t="s">
        <v>37</v>
      </c>
      <c r="O116" s="12"/>
      <c r="P116" s="12"/>
      <c r="Q116" s="12"/>
      <c r="R116" s="13"/>
      <c r="S116" s="13"/>
      <c r="T116" s="640"/>
      <c r="U116" s="640"/>
      <c r="V116" s="640"/>
      <c r="W116" s="38"/>
      <c r="X116" s="48" t="str">
        <f>""&amp;TEXT(G116,"000,00")&amp;" шт.ед. х норматив "&amp;TEXT(I116,"0 000,00")&amp;" руб. = "&amp;TEXT(K116,"0 000,00")&amp;" руб. = "&amp;TEXT(M116,"0 000,00")&amp;" руб."</f>
        <v>213,00 шт.ед. х норматив 11 539,00 руб. = 2 457 807,00 руб. = 2 457 800,00 руб.</v>
      </c>
    </row>
    <row r="117" spans="1:24" ht="105" x14ac:dyDescent="0.25">
      <c r="A117" s="644" t="s">
        <v>18</v>
      </c>
      <c r="B117" s="645" t="s">
        <v>99</v>
      </c>
      <c r="C117" s="38"/>
      <c r="D117" s="642">
        <v>346</v>
      </c>
      <c r="E117" s="642">
        <v>244</v>
      </c>
      <c r="F117" s="655" t="s">
        <v>57</v>
      </c>
      <c r="G117" s="655"/>
      <c r="H117" s="655"/>
      <c r="I117" s="655"/>
      <c r="J117" s="655"/>
      <c r="K117" s="655"/>
      <c r="L117" s="655"/>
      <c r="M117" s="655"/>
      <c r="N117" s="655"/>
      <c r="O117" s="655"/>
      <c r="P117" s="655"/>
      <c r="Q117" s="655"/>
      <c r="R117" s="655"/>
      <c r="S117" s="13"/>
      <c r="T117" s="640">
        <f>O118</f>
        <v>193200</v>
      </c>
      <c r="U117" s="640">
        <f>O119</f>
        <v>207000</v>
      </c>
      <c r="V117" s="640">
        <f>O120</f>
        <v>220800</v>
      </c>
      <c r="W117" s="38"/>
      <c r="X117" s="48" t="s">
        <v>58</v>
      </c>
    </row>
    <row r="118" spans="1:24" x14ac:dyDescent="0.25">
      <c r="A118" s="644"/>
      <c r="B118" s="684"/>
      <c r="C118" s="38"/>
      <c r="D118" s="654"/>
      <c r="E118" s="654"/>
      <c r="F118" s="18" t="s">
        <v>149</v>
      </c>
      <c r="G118" s="44">
        <v>1150.5</v>
      </c>
      <c r="H118" s="12" t="s">
        <v>59</v>
      </c>
      <c r="I118" s="44">
        <v>14</v>
      </c>
      <c r="J118" s="12" t="s">
        <v>49</v>
      </c>
      <c r="K118" s="44">
        <v>12</v>
      </c>
      <c r="L118" s="12" t="s">
        <v>50</v>
      </c>
      <c r="M118" s="44">
        <f>ROUND((G118*I118*K118),2)</f>
        <v>193284</v>
      </c>
      <c r="N118" s="12" t="s">
        <v>41</v>
      </c>
      <c r="O118" s="14">
        <f>ROUNDDOWN((M118),-2)</f>
        <v>193200</v>
      </c>
      <c r="P118" s="15" t="s">
        <v>37</v>
      </c>
      <c r="Q118" s="12"/>
      <c r="R118" s="13"/>
      <c r="S118" s="13"/>
      <c r="T118" s="640"/>
      <c r="U118" s="640"/>
      <c r="V118" s="640"/>
      <c r="W118" s="38"/>
      <c r="X118" s="48" t="str">
        <f>""&amp;TEXT(G118,"0 000,00")&amp;" кв.м. х норматив "&amp;TEXT(I118,"0,00")&amp;" руб. х "&amp;TEXT(K118,"00,0")&amp;" мес.  = "&amp;TEXT(M118,"0 000,00")&amp;" руб. = "&amp;TEXT(O118,"0 000,00")&amp;" руб."</f>
        <v>1 150,50 кв.м. х норматив 14,00 руб. х 12,0 мес.  = 193 284,00 руб. = 193 200,00 руб.</v>
      </c>
    </row>
    <row r="119" spans="1:24" x14ac:dyDescent="0.25">
      <c r="A119" s="644"/>
      <c r="B119" s="684"/>
      <c r="C119" s="38"/>
      <c r="D119" s="654"/>
      <c r="E119" s="654"/>
      <c r="F119" s="18" t="s">
        <v>150</v>
      </c>
      <c r="G119" s="44">
        <f>G118</f>
        <v>1150.5</v>
      </c>
      <c r="H119" s="12" t="s">
        <v>59</v>
      </c>
      <c r="I119" s="44">
        <v>15</v>
      </c>
      <c r="J119" s="12" t="s">
        <v>49</v>
      </c>
      <c r="K119" s="44">
        <v>12</v>
      </c>
      <c r="L119" s="12" t="s">
        <v>50</v>
      </c>
      <c r="M119" s="44">
        <f t="shared" ref="M119:M120" si="7">ROUND((G119*I119*K119),2)</f>
        <v>207090</v>
      </c>
      <c r="N119" s="12" t="s">
        <v>41</v>
      </c>
      <c r="O119" s="14">
        <f t="shared" ref="O119:O120" si="8">ROUNDDOWN((M119),-2)</f>
        <v>207000</v>
      </c>
      <c r="P119" s="15" t="s">
        <v>37</v>
      </c>
      <c r="Q119" s="12"/>
      <c r="R119" s="13"/>
      <c r="S119" s="13"/>
      <c r="T119" s="640"/>
      <c r="U119" s="640"/>
      <c r="V119" s="640"/>
      <c r="W119" s="38"/>
      <c r="X119" s="48" t="str">
        <f>""&amp;TEXT(G119,"0 000,00")&amp;" кв.м. х норматив "&amp;TEXT(I119,"0,00")&amp;" руб. х "&amp;TEXT(K119,"00,0")&amp;" мес.  = "&amp;TEXT(M119,"0 000,00")&amp;" руб. = "&amp;TEXT(O119,"0 000,00")&amp;" руб."</f>
        <v>1 150,50 кв.м. х норматив 15,00 руб. х 12,0 мес.  = 207 090,00 руб. = 207 000,00 руб.</v>
      </c>
    </row>
    <row r="120" spans="1:24" x14ac:dyDescent="0.25">
      <c r="A120" s="644"/>
      <c r="B120" s="684"/>
      <c r="C120" s="38"/>
      <c r="D120" s="654"/>
      <c r="E120" s="654"/>
      <c r="F120" s="18" t="s">
        <v>151</v>
      </c>
      <c r="G120" s="44">
        <f>G119</f>
        <v>1150.5</v>
      </c>
      <c r="H120" s="12" t="s">
        <v>59</v>
      </c>
      <c r="I120" s="44">
        <v>16</v>
      </c>
      <c r="J120" s="12" t="s">
        <v>49</v>
      </c>
      <c r="K120" s="44">
        <v>12</v>
      </c>
      <c r="L120" s="12" t="s">
        <v>50</v>
      </c>
      <c r="M120" s="44">
        <f t="shared" si="7"/>
        <v>220896</v>
      </c>
      <c r="N120" s="12" t="s">
        <v>41</v>
      </c>
      <c r="O120" s="14">
        <f t="shared" si="8"/>
        <v>220800</v>
      </c>
      <c r="P120" s="15" t="s">
        <v>37</v>
      </c>
      <c r="Q120" s="12"/>
      <c r="R120" s="13"/>
      <c r="S120" s="13"/>
      <c r="T120" s="640"/>
      <c r="U120" s="640"/>
      <c r="V120" s="640"/>
      <c r="W120" s="38"/>
      <c r="X120" s="48" t="str">
        <f>""&amp;TEXT(G120,"0 000,00")&amp;" кв.м. х норматив "&amp;TEXT(I120,"0,00")&amp;" руб. х "&amp;TEXT(K120,"00,0")&amp;" мес.  = "&amp;TEXT(M120,"0 000,00")&amp;" руб. = "&amp;TEXT(O120,"0 000,00")&amp;" руб."</f>
        <v>1 150,50 кв.м. х норматив 16,00 руб. х 12,0 мес.  = 220 896,00 руб. = 220 800,00 руб.</v>
      </c>
    </row>
    <row r="121" spans="1:24" ht="105" collapsed="1" x14ac:dyDescent="0.25">
      <c r="A121" s="644" t="s">
        <v>26</v>
      </c>
      <c r="B121" s="645" t="s">
        <v>100</v>
      </c>
      <c r="C121" s="38"/>
      <c r="D121" s="642">
        <v>343</v>
      </c>
      <c r="E121" s="642">
        <v>244</v>
      </c>
      <c r="F121" s="639" t="s">
        <v>182</v>
      </c>
      <c r="G121" s="639"/>
      <c r="H121" s="639"/>
      <c r="I121" s="639"/>
      <c r="J121" s="639"/>
      <c r="K121" s="639"/>
      <c r="L121" s="639"/>
      <c r="M121" s="639"/>
      <c r="N121" s="639"/>
      <c r="O121" s="639"/>
      <c r="P121" s="639"/>
      <c r="Q121" s="639"/>
      <c r="R121" s="639"/>
      <c r="S121" s="13"/>
      <c r="T121" s="640">
        <f>M123</f>
        <v>49200</v>
      </c>
      <c r="U121" s="640">
        <f>O124</f>
        <v>51100</v>
      </c>
      <c r="V121" s="640">
        <f>Q125</f>
        <v>53200</v>
      </c>
      <c r="W121" s="38"/>
      <c r="X121" s="48" t="s">
        <v>76</v>
      </c>
    </row>
    <row r="122" spans="1:24" hidden="1" outlineLevel="1" x14ac:dyDescent="0.25">
      <c r="A122" s="644"/>
      <c r="B122" s="646"/>
      <c r="C122" s="38"/>
      <c r="D122" s="643"/>
      <c r="E122" s="641"/>
      <c r="F122" s="7" t="s">
        <v>183</v>
      </c>
      <c r="G122" s="44">
        <v>814</v>
      </c>
      <c r="H122" s="12" t="s">
        <v>75</v>
      </c>
      <c r="I122" s="44">
        <v>58.1</v>
      </c>
      <c r="J122" s="12" t="s">
        <v>41</v>
      </c>
      <c r="K122" s="44">
        <f>ROUND((G122*I122),2)</f>
        <v>47293.4</v>
      </c>
      <c r="L122" s="12" t="s">
        <v>37</v>
      </c>
      <c r="M122" s="12"/>
      <c r="N122" s="12"/>
      <c r="O122" s="12"/>
      <c r="P122" s="12"/>
      <c r="Q122" s="12"/>
      <c r="R122" s="13"/>
      <c r="S122" s="13"/>
      <c r="T122" s="640"/>
      <c r="U122" s="640"/>
      <c r="V122" s="640"/>
      <c r="W122" s="38"/>
      <c r="X122" s="48"/>
    </row>
    <row r="123" spans="1:24" x14ac:dyDescent="0.25">
      <c r="A123" s="644"/>
      <c r="B123" s="646"/>
      <c r="C123" s="38"/>
      <c r="D123" s="643"/>
      <c r="E123" s="641"/>
      <c r="F123" s="18" t="s">
        <v>138</v>
      </c>
      <c r="G123" s="44">
        <f>K122</f>
        <v>47293.4</v>
      </c>
      <c r="H123" s="13" t="s">
        <v>137</v>
      </c>
      <c r="I123" s="19">
        <f>1.0397</f>
        <v>1.0397000000000001</v>
      </c>
      <c r="J123" s="12" t="s">
        <v>25</v>
      </c>
      <c r="K123" s="44">
        <f>ROUND((G123*I123),2)</f>
        <v>49170.95</v>
      </c>
      <c r="L123" s="12" t="s">
        <v>41</v>
      </c>
      <c r="M123" s="14">
        <f>ROUNDUP((K123),-2)</f>
        <v>49200</v>
      </c>
      <c r="N123" s="15" t="s">
        <v>37</v>
      </c>
      <c r="O123" s="16"/>
      <c r="P123" s="16"/>
      <c r="Q123" s="16"/>
      <c r="R123" s="16"/>
      <c r="S123" s="13"/>
      <c r="T123" s="640"/>
      <c r="U123" s="640"/>
      <c r="V123" s="640"/>
      <c r="W123" s="38"/>
      <c r="X123" s="48" t="str">
        <f>""&amp;TEXT($G$122,"0,0")&amp;" л. х "&amp;TEXT(ROUND((K123/$G$122),2),"0,00")&amp;" руб. = "&amp;TEXT(ROUND(($G$122*(ROUND((K123/$G$122),2))),2),"0 000,00")&amp;" руб. = "&amp;TEXT(M123,"0 000,00")&amp;" руб."</f>
        <v>814,0 л. х 60,41 руб. = 49 173,74 руб. = 49 200,00 руб.</v>
      </c>
    </row>
    <row r="124" spans="1:24" x14ac:dyDescent="0.25">
      <c r="A124" s="644"/>
      <c r="B124" s="646"/>
      <c r="C124" s="38"/>
      <c r="D124" s="643"/>
      <c r="E124" s="641"/>
      <c r="F124" s="18" t="s">
        <v>139</v>
      </c>
      <c r="G124" s="44">
        <f>G123</f>
        <v>47293.4</v>
      </c>
      <c r="H124" s="12" t="str">
        <f>H123</f>
        <v>руб. х индекс потребительских цен 2020 года</v>
      </c>
      <c r="I124" s="19">
        <f>$I$123</f>
        <v>1.0397000000000001</v>
      </c>
      <c r="J124" s="13" t="s">
        <v>136</v>
      </c>
      <c r="K124" s="19">
        <v>1.0388999999999999</v>
      </c>
      <c r="L124" s="12" t="s">
        <v>25</v>
      </c>
      <c r="M124" s="44">
        <f>ROUND((G124*I124*K124),2)</f>
        <v>51083.7</v>
      </c>
      <c r="N124" s="12" t="s">
        <v>41</v>
      </c>
      <c r="O124" s="14">
        <f>ROUNDUP((M124),-2)</f>
        <v>51100</v>
      </c>
      <c r="P124" s="15" t="s">
        <v>37</v>
      </c>
      <c r="Q124" s="16"/>
      <c r="R124" s="16"/>
      <c r="S124" s="13"/>
      <c r="T124" s="640"/>
      <c r="U124" s="640"/>
      <c r="V124" s="640"/>
      <c r="W124" s="38"/>
      <c r="X124" s="48" t="str">
        <f>""&amp;TEXT($G$122,"0,0")&amp;" л. х "&amp;TEXT(ROUND((M124/$G$122),2),"0,00")&amp;" руб. = "&amp;TEXT(ROUND(($G$122*(ROUND((M124/$G$122),2))),2),"0 000,00")&amp;" руб. = "&amp;TEXT(O124,"0 000,00")&amp;" руб."</f>
        <v>814,0 л. х 62,76 руб. = 51 086,64 руб. = 51 100,00 руб.</v>
      </c>
    </row>
    <row r="125" spans="1:24" x14ac:dyDescent="0.25">
      <c r="A125" s="644"/>
      <c r="B125" s="646"/>
      <c r="C125" s="38"/>
      <c r="D125" s="643"/>
      <c r="E125" s="641"/>
      <c r="F125" s="18" t="s">
        <v>140</v>
      </c>
      <c r="G125" s="44">
        <f>G124</f>
        <v>47293.4</v>
      </c>
      <c r="H125" s="12" t="str">
        <f>H123</f>
        <v>руб. х индекс потребительских цен 2020 года</v>
      </c>
      <c r="I125" s="19">
        <f>$I$123</f>
        <v>1.0397000000000001</v>
      </c>
      <c r="J125" s="12" t="str">
        <f>J124</f>
        <v>х индекс потребительских цен 2021 года</v>
      </c>
      <c r="K125" s="19">
        <f>$K$124</f>
        <v>1.0388999999999999</v>
      </c>
      <c r="L125" s="13" t="s">
        <v>135</v>
      </c>
      <c r="M125" s="19">
        <v>1.0407999999999999</v>
      </c>
      <c r="N125" s="12" t="s">
        <v>25</v>
      </c>
      <c r="O125" s="44">
        <f>ROUND((G125*I125*K125*M125),2)</f>
        <v>53167.91</v>
      </c>
      <c r="P125" s="12" t="s">
        <v>41</v>
      </c>
      <c r="Q125" s="14">
        <f>ROUNDUP((O125),-2)</f>
        <v>53200</v>
      </c>
      <c r="R125" s="15" t="s">
        <v>37</v>
      </c>
      <c r="S125" s="13"/>
      <c r="T125" s="641"/>
      <c r="U125" s="641"/>
      <c r="V125" s="641"/>
      <c r="W125" s="38"/>
      <c r="X125" s="48" t="str">
        <f>""&amp;TEXT($G$122,"0,0")&amp;" л. х "&amp;TEXT(ROUND((O125/$G$122),2),"0,00")&amp;" руб. = "&amp;TEXT(ROUND(($G$122*(ROUND((O125/$G$122),2))),2),"0 000,00")&amp;" руб. = "&amp;TEXT(Q125,"0 000,00")&amp;" руб."</f>
        <v>814,0 л. х 65,32 руб. = 53 170,48 руб. = 53 200,00 руб.</v>
      </c>
    </row>
    <row r="126" spans="1:24" ht="90" x14ac:dyDescent="0.25">
      <c r="A126" s="39" t="s">
        <v>19</v>
      </c>
      <c r="B126" s="40" t="s">
        <v>93</v>
      </c>
      <c r="C126" s="47"/>
      <c r="D126" s="45" t="s">
        <v>35</v>
      </c>
      <c r="E126" s="45" t="s">
        <v>35</v>
      </c>
      <c r="F126" s="659"/>
      <c r="G126" s="660"/>
      <c r="H126" s="660"/>
      <c r="I126" s="660"/>
      <c r="J126" s="660"/>
      <c r="K126" s="660"/>
      <c r="L126" s="660"/>
      <c r="M126" s="660"/>
      <c r="N126" s="660"/>
      <c r="O126" s="660"/>
      <c r="P126" s="660"/>
      <c r="Q126" s="660"/>
      <c r="R126" s="660"/>
      <c r="S126" s="660"/>
      <c r="T126" s="47">
        <f>SUM(T127,T132,T138)</f>
        <v>399500</v>
      </c>
      <c r="U126" s="47">
        <f>SUM(U127,U132,U138)</f>
        <v>415000</v>
      </c>
      <c r="V126" s="47">
        <f>SUM(V127,V132,V138)</f>
        <v>431900</v>
      </c>
      <c r="W126" s="47"/>
      <c r="X126" s="48" t="str">
        <f>"Нормативные "&amp;TEXT(B126,"0")&amp;" включают в себя:
нормативные "&amp;TEXT(B127,"0")&amp;";
нормативные "&amp;TEXT(B132,"0")&amp;";
нормативные "&amp;TEXT(B138,"0")&amp;""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инкассации, пересчету и зачислению на счет денежной наличности;
нормативные затраты на оказание услуг по дополнительному профессиональному обучению;
нормативные затраты на оказание нотариальных услуг</v>
      </c>
    </row>
    <row r="127" spans="1:24" ht="120" collapsed="1" x14ac:dyDescent="0.25">
      <c r="A127" s="644" t="s">
        <v>20</v>
      </c>
      <c r="B127" s="645" t="s">
        <v>94</v>
      </c>
      <c r="C127" s="38"/>
      <c r="D127" s="642">
        <v>226</v>
      </c>
      <c r="E127" s="642">
        <v>244</v>
      </c>
      <c r="F127" s="639" t="s">
        <v>182</v>
      </c>
      <c r="G127" s="639"/>
      <c r="H127" s="639"/>
      <c r="I127" s="639"/>
      <c r="J127" s="639"/>
      <c r="K127" s="639"/>
      <c r="L127" s="639"/>
      <c r="M127" s="639"/>
      <c r="N127" s="639"/>
      <c r="O127" s="639"/>
      <c r="P127" s="639"/>
      <c r="Q127" s="639"/>
      <c r="R127" s="639"/>
      <c r="S127" s="13"/>
      <c r="T127" s="640">
        <f>M129</f>
        <v>172500</v>
      </c>
      <c r="U127" s="640">
        <f>O130</f>
        <v>179200</v>
      </c>
      <c r="V127" s="640">
        <f>Q131</f>
        <v>186500</v>
      </c>
      <c r="W127" s="38"/>
      <c r="X127" s="48" t="s">
        <v>61</v>
      </c>
    </row>
    <row r="128" spans="1:24" hidden="1" outlineLevel="1" x14ac:dyDescent="0.25">
      <c r="A128" s="643"/>
      <c r="B128" s="646"/>
      <c r="C128" s="38"/>
      <c r="D128" s="643"/>
      <c r="E128" s="641"/>
      <c r="F128" s="7" t="s">
        <v>183</v>
      </c>
      <c r="G128" s="44">
        <v>93</v>
      </c>
      <c r="H128" s="12" t="s">
        <v>60</v>
      </c>
      <c r="I128" s="44">
        <v>1783.33</v>
      </c>
      <c r="J128" s="12" t="s">
        <v>41</v>
      </c>
      <c r="K128" s="44">
        <f>ROUND((G128*I128),2)</f>
        <v>165849.69</v>
      </c>
      <c r="L128" s="12" t="s">
        <v>37</v>
      </c>
      <c r="M128" s="12"/>
      <c r="N128" s="12"/>
      <c r="O128" s="12"/>
      <c r="P128" s="12"/>
      <c r="Q128" s="12"/>
      <c r="R128" s="13"/>
      <c r="S128" s="13"/>
      <c r="T128" s="640"/>
      <c r="U128" s="640"/>
      <c r="V128" s="640"/>
      <c r="W128" s="38"/>
      <c r="X128" s="48"/>
    </row>
    <row r="129" spans="1:24" x14ac:dyDescent="0.25">
      <c r="A129" s="643"/>
      <c r="B129" s="646"/>
      <c r="C129" s="38"/>
      <c r="D129" s="643"/>
      <c r="E129" s="641"/>
      <c r="F129" s="18" t="s">
        <v>138</v>
      </c>
      <c r="G129" s="44">
        <f>K128</f>
        <v>165849.69</v>
      </c>
      <c r="H129" s="13" t="s">
        <v>137</v>
      </c>
      <c r="I129" s="19">
        <f>1.0397</f>
        <v>1.0397000000000001</v>
      </c>
      <c r="J129" s="12" t="s">
        <v>25</v>
      </c>
      <c r="K129" s="44">
        <f>ROUND((G129*I129),2)</f>
        <v>172433.92000000001</v>
      </c>
      <c r="L129" s="12" t="s">
        <v>41</v>
      </c>
      <c r="M129" s="14">
        <f>ROUNDUP((K129),-2)</f>
        <v>172500</v>
      </c>
      <c r="N129" s="15" t="s">
        <v>37</v>
      </c>
      <c r="O129" s="16"/>
      <c r="P129" s="16"/>
      <c r="Q129" s="16"/>
      <c r="R129" s="16"/>
      <c r="S129" s="13"/>
      <c r="T129" s="640"/>
      <c r="U129" s="640"/>
      <c r="V129" s="640"/>
      <c r="W129" s="38"/>
      <c r="X129" s="48" t="str">
        <f>""&amp;TEXT($G$128,"0,0")&amp;" заезда х "&amp;TEXT(ROUND((K129/$G$128),2),"0 000,00")&amp;" руб. = "&amp;TEXT(ROUND(($G$128*(ROUND((K129/$G$128),2))),2),"0 000,00")&amp;" руб. = "&amp;TEXT(M129,"0 000,00")&amp;" руб."</f>
        <v>93,0 заезда х 1 854,13 руб. = 172 434,09 руб. = 172 500,00 руб.</v>
      </c>
    </row>
    <row r="130" spans="1:24" x14ac:dyDescent="0.25">
      <c r="A130" s="643"/>
      <c r="B130" s="646"/>
      <c r="C130" s="38"/>
      <c r="D130" s="643"/>
      <c r="E130" s="641"/>
      <c r="F130" s="18" t="s">
        <v>139</v>
      </c>
      <c r="G130" s="44">
        <f>G129</f>
        <v>165849.69</v>
      </c>
      <c r="H130" s="12" t="str">
        <f>H129</f>
        <v>руб. х индекс потребительских цен 2020 года</v>
      </c>
      <c r="I130" s="19">
        <f>$I$129</f>
        <v>1.0397000000000001</v>
      </c>
      <c r="J130" s="13" t="s">
        <v>136</v>
      </c>
      <c r="K130" s="19">
        <v>1.0388999999999999</v>
      </c>
      <c r="L130" s="12" t="s">
        <v>25</v>
      </c>
      <c r="M130" s="44">
        <f>ROUND((G130*I130*K130),2)</f>
        <v>179141.6</v>
      </c>
      <c r="N130" s="12" t="s">
        <v>41</v>
      </c>
      <c r="O130" s="14">
        <f>ROUNDUP((M130),-2)</f>
        <v>179200</v>
      </c>
      <c r="P130" s="15" t="s">
        <v>37</v>
      </c>
      <c r="Q130" s="16"/>
      <c r="R130" s="16"/>
      <c r="S130" s="13"/>
      <c r="T130" s="640"/>
      <c r="U130" s="640"/>
      <c r="V130" s="640"/>
      <c r="W130" s="38"/>
      <c r="X130" s="48" t="str">
        <f>""&amp;TEXT($G$128,"0,0")&amp;" заезда х "&amp;TEXT(ROUND((M130/$G$128),2),"0 000,00")&amp;" руб. = "&amp;TEXT(ROUND(($G$128*(ROUND((M130/$G$128),2))),2),"0 000,00")&amp;" руб. = "&amp;TEXT(O130,"0 000,00")&amp;" руб."</f>
        <v>93,0 заезда х 1 926,25 руб. = 179 141,25 руб. = 179 200,00 руб.</v>
      </c>
    </row>
    <row r="131" spans="1:24" x14ac:dyDescent="0.25">
      <c r="A131" s="643"/>
      <c r="B131" s="646"/>
      <c r="C131" s="38"/>
      <c r="D131" s="643"/>
      <c r="E131" s="641"/>
      <c r="F131" s="18" t="s">
        <v>140</v>
      </c>
      <c r="G131" s="44">
        <f>G130</f>
        <v>165849.69</v>
      </c>
      <c r="H131" s="12" t="str">
        <f>H129</f>
        <v>руб. х индекс потребительских цен 2020 года</v>
      </c>
      <c r="I131" s="19">
        <f>$I$129</f>
        <v>1.0397000000000001</v>
      </c>
      <c r="J131" s="12" t="str">
        <f>J130</f>
        <v>х индекс потребительских цен 2021 года</v>
      </c>
      <c r="K131" s="19">
        <f>$K$130</f>
        <v>1.0388999999999999</v>
      </c>
      <c r="L131" s="13" t="s">
        <v>135</v>
      </c>
      <c r="M131" s="19">
        <v>1.0407999999999999</v>
      </c>
      <c r="N131" s="12" t="s">
        <v>25</v>
      </c>
      <c r="O131" s="44">
        <f>ROUND((G131*I131*K131*M131),2)</f>
        <v>186450.58</v>
      </c>
      <c r="P131" s="12" t="s">
        <v>41</v>
      </c>
      <c r="Q131" s="14">
        <f>ROUNDUP((O131),-2)</f>
        <v>186500</v>
      </c>
      <c r="R131" s="15" t="s">
        <v>37</v>
      </c>
      <c r="S131" s="13"/>
      <c r="T131" s="641"/>
      <c r="U131" s="641"/>
      <c r="V131" s="641"/>
      <c r="W131" s="38"/>
      <c r="X131" s="48" t="str">
        <f>""&amp;TEXT($G$128,"0,0")&amp;" заезда х "&amp;TEXT(ROUND((O131/$G$128),2),"0 000,00")&amp;" руб. = "&amp;TEXT(ROUND(($G$128*(ROUND((O131/$G$128),2))),2),"0 000,00")&amp;" руб. = "&amp;TEXT(Q131,"0 000,00")&amp;" руб."</f>
        <v>93,0 заезда х 2 004,84 руб. = 186 450,12 руб. = 186 500,00 руб.</v>
      </c>
    </row>
    <row r="132" spans="1:24" ht="120" collapsed="1" x14ac:dyDescent="0.25">
      <c r="A132" s="644" t="s">
        <v>21</v>
      </c>
      <c r="B132" s="645" t="s">
        <v>95</v>
      </c>
      <c r="C132" s="38"/>
      <c r="D132" s="642">
        <v>226</v>
      </c>
      <c r="E132" s="642">
        <v>244</v>
      </c>
      <c r="F132" s="639" t="s">
        <v>178</v>
      </c>
      <c r="G132" s="639"/>
      <c r="H132" s="639"/>
      <c r="I132" s="639"/>
      <c r="J132" s="639"/>
      <c r="K132" s="639"/>
      <c r="L132" s="639"/>
      <c r="M132" s="639"/>
      <c r="N132" s="639"/>
      <c r="O132" s="639"/>
      <c r="P132" s="639"/>
      <c r="Q132" s="639"/>
      <c r="R132" s="639"/>
      <c r="S132" s="13"/>
      <c r="T132" s="640">
        <f>M135</f>
        <v>225000</v>
      </c>
      <c r="U132" s="640">
        <f>O136</f>
        <v>233700</v>
      </c>
      <c r="V132" s="640">
        <f>Q137</f>
        <v>243200</v>
      </c>
      <c r="W132" s="38"/>
      <c r="X132" s="48" t="s">
        <v>79</v>
      </c>
    </row>
    <row r="133" spans="1:24" hidden="1" outlineLevel="1" x14ac:dyDescent="0.25">
      <c r="A133" s="644"/>
      <c r="B133" s="646"/>
      <c r="C133" s="38"/>
      <c r="D133" s="643"/>
      <c r="E133" s="643"/>
      <c r="F133" s="7" t="s">
        <v>171</v>
      </c>
      <c r="G133" s="44">
        <v>10</v>
      </c>
      <c r="H133" s="12" t="s">
        <v>66</v>
      </c>
      <c r="I133" s="44">
        <v>1</v>
      </c>
      <c r="J133" s="12" t="s">
        <v>177</v>
      </c>
      <c r="K133" s="44">
        <f>ROUND((173333.3/1*1.2/10),2)</f>
        <v>20800</v>
      </c>
      <c r="L133" s="12" t="s">
        <v>41</v>
      </c>
      <c r="M133" s="44">
        <f>ROUND((G133*I133*K133),2)</f>
        <v>208000</v>
      </c>
      <c r="N133" s="12" t="s">
        <v>37</v>
      </c>
      <c r="O133" s="44"/>
      <c r="P133" s="12"/>
      <c r="Q133" s="7"/>
      <c r="R133" s="13"/>
      <c r="S133" s="13"/>
      <c r="T133" s="640"/>
      <c r="U133" s="640"/>
      <c r="V133" s="640"/>
      <c r="W133" s="38"/>
    </row>
    <row r="134" spans="1:24" hidden="1" outlineLevel="1" x14ac:dyDescent="0.25">
      <c r="A134" s="644"/>
      <c r="B134" s="646"/>
      <c r="C134" s="38"/>
      <c r="D134" s="643"/>
      <c r="E134" s="643"/>
      <c r="F134" s="18" t="s">
        <v>172</v>
      </c>
      <c r="G134" s="44">
        <f>M133</f>
        <v>208000</v>
      </c>
      <c r="H134" s="13" t="s">
        <v>68</v>
      </c>
      <c r="I134" s="19">
        <v>1.04</v>
      </c>
      <c r="J134" s="12" t="s">
        <v>25</v>
      </c>
      <c r="K134" s="44">
        <f>ROUND((G134*I134),2)</f>
        <v>216320</v>
      </c>
      <c r="L134" s="12" t="s">
        <v>37</v>
      </c>
      <c r="M134" s="44"/>
      <c r="N134" s="12"/>
      <c r="O134" s="44"/>
      <c r="P134" s="12"/>
      <c r="Q134" s="7"/>
      <c r="R134" s="13"/>
      <c r="S134" s="13"/>
      <c r="T134" s="640"/>
      <c r="U134" s="640"/>
      <c r="V134" s="640"/>
      <c r="W134" s="38"/>
      <c r="X134" s="41"/>
    </row>
    <row r="135" spans="1:24" x14ac:dyDescent="0.25">
      <c r="A135" s="644"/>
      <c r="B135" s="646"/>
      <c r="C135" s="38"/>
      <c r="D135" s="643"/>
      <c r="E135" s="643"/>
      <c r="F135" s="18" t="s">
        <v>138</v>
      </c>
      <c r="G135" s="44">
        <f>K134</f>
        <v>216320</v>
      </c>
      <c r="H135" s="13" t="s">
        <v>137</v>
      </c>
      <c r="I135" s="19">
        <f>1.0397</f>
        <v>1.0397000000000001</v>
      </c>
      <c r="J135" s="12" t="s">
        <v>25</v>
      </c>
      <c r="K135" s="44">
        <f>ROUND((G135*I135),2)</f>
        <v>224907.9</v>
      </c>
      <c r="L135" s="12" t="s">
        <v>41</v>
      </c>
      <c r="M135" s="14">
        <f>ROUNDUP((K135),-2)</f>
        <v>225000</v>
      </c>
      <c r="N135" s="15" t="s">
        <v>37</v>
      </c>
      <c r="O135" s="16"/>
      <c r="P135" s="16"/>
      <c r="Q135" s="16"/>
      <c r="R135" s="16"/>
      <c r="S135" s="13"/>
      <c r="T135" s="641"/>
      <c r="U135" s="641"/>
      <c r="V135" s="641"/>
      <c r="W135" s="38"/>
      <c r="X135" s="48" t="str">
        <f>""&amp;TEXT($G$133,"0,0")&amp;" чел. х "&amp;TEXT($I$133,"0,0")&amp;" раз х "&amp;TEXT(ROUND((K135/$G$133/$I$133),2),"0 000,00")&amp;" руб. = "&amp;TEXT(ROUND((($G$133*$I$133*ROUND((K135/$G$133/$I$133),2))),2),"0 000,00")&amp;" руб. = "&amp;TEXT(M135,"0 000,00")&amp;" руб."</f>
        <v>10,0 чел. х 1,0 раз х 22 490,79 руб. = 224 907,90 руб. = 225 000,00 руб.</v>
      </c>
    </row>
    <row r="136" spans="1:24" x14ac:dyDescent="0.25">
      <c r="A136" s="644"/>
      <c r="B136" s="646"/>
      <c r="C136" s="38"/>
      <c r="D136" s="643"/>
      <c r="E136" s="643"/>
      <c r="F136" s="18" t="s">
        <v>139</v>
      </c>
      <c r="G136" s="44">
        <f>G135</f>
        <v>216320</v>
      </c>
      <c r="H136" s="12" t="str">
        <f>H135</f>
        <v>руб. х индекс потребительских цен 2020 года</v>
      </c>
      <c r="I136" s="19">
        <f>$I$135</f>
        <v>1.0397000000000001</v>
      </c>
      <c r="J136" s="13" t="s">
        <v>136</v>
      </c>
      <c r="K136" s="19">
        <v>1.0388999999999999</v>
      </c>
      <c r="L136" s="12" t="s">
        <v>25</v>
      </c>
      <c r="M136" s="44">
        <f>ROUND((G136*I136*K136),2)</f>
        <v>233656.82</v>
      </c>
      <c r="N136" s="12" t="s">
        <v>41</v>
      </c>
      <c r="O136" s="14">
        <f>ROUNDUP((M136),-2)</f>
        <v>233700</v>
      </c>
      <c r="P136" s="15" t="s">
        <v>37</v>
      </c>
      <c r="Q136" s="16"/>
      <c r="R136" s="16"/>
      <c r="S136" s="13"/>
      <c r="T136" s="641"/>
      <c r="U136" s="641"/>
      <c r="V136" s="641"/>
      <c r="W136" s="38"/>
      <c r="X136" s="48" t="str">
        <f>""&amp;TEXT($G$133,"0,0")&amp;" чел. х "&amp;TEXT($I$133,"0,0")&amp;" раз х "&amp;TEXT(ROUND((M136/$G$133/$I$133),2),"0 000,00")&amp;" руб. = "&amp;TEXT(ROUND((($G$133*$I$133*ROUND((M136/$G$133/$I$133),2))),2),"0 000,00")&amp;" руб. = "&amp;TEXT(O136,"0 000,00")&amp;" руб."</f>
        <v>10,0 чел. х 1,0 раз х 23 365,68 руб. = 233 656,80 руб. = 233 700,00 руб.</v>
      </c>
    </row>
    <row r="137" spans="1:24" x14ac:dyDescent="0.25">
      <c r="A137" s="644"/>
      <c r="B137" s="646"/>
      <c r="C137" s="38"/>
      <c r="D137" s="643"/>
      <c r="E137" s="643"/>
      <c r="F137" s="18" t="s">
        <v>140</v>
      </c>
      <c r="G137" s="44">
        <f>G136</f>
        <v>216320</v>
      </c>
      <c r="H137" s="12" t="str">
        <f>H135</f>
        <v>руб. х индекс потребительских цен 2020 года</v>
      </c>
      <c r="I137" s="19">
        <f>$I$135</f>
        <v>1.0397000000000001</v>
      </c>
      <c r="J137" s="12" t="str">
        <f>J136</f>
        <v>х индекс потребительских цен 2021 года</v>
      </c>
      <c r="K137" s="19">
        <f>$K$136</f>
        <v>1.0388999999999999</v>
      </c>
      <c r="L137" s="13" t="s">
        <v>135</v>
      </c>
      <c r="M137" s="19">
        <v>1.0407999999999999</v>
      </c>
      <c r="N137" s="12" t="s">
        <v>25</v>
      </c>
      <c r="O137" s="44">
        <f>ROUND((G137*I137*K137*M137),2)</f>
        <v>243190.02</v>
      </c>
      <c r="P137" s="12" t="s">
        <v>41</v>
      </c>
      <c r="Q137" s="14">
        <f>ROUNDUP((O137),-2)</f>
        <v>243200</v>
      </c>
      <c r="R137" s="15" t="s">
        <v>37</v>
      </c>
      <c r="S137" s="13"/>
      <c r="T137" s="641"/>
      <c r="U137" s="641"/>
      <c r="V137" s="641"/>
      <c r="W137" s="38"/>
      <c r="X137" s="48" t="str">
        <f>""&amp;TEXT($G$133,"0,0")&amp;" чел. х "&amp;TEXT($I$133,"0,0")&amp;" раз х "&amp;TEXT(ROUND((O137/$G$133/$I$133),2),"0 000,00")&amp;" руб. = "&amp;TEXT(ROUND((($G$133*$I$133*ROUND((O137/$G$133/$I$133),2))),2),"0 000,00")&amp;" руб. = "&amp;TEXT(Q137,"0 000,00")&amp;" руб."</f>
        <v>10,0 чел. х 1,0 раз х 24 319,00 руб. = 243 190,00 руб. = 243 200,00 руб.</v>
      </c>
    </row>
    <row r="138" spans="1:24" ht="90" collapsed="1" x14ac:dyDescent="0.25">
      <c r="A138" s="644" t="s">
        <v>22</v>
      </c>
      <c r="B138" s="645" t="s">
        <v>96</v>
      </c>
      <c r="C138" s="38"/>
      <c r="D138" s="642">
        <v>226</v>
      </c>
      <c r="E138" s="642">
        <v>244</v>
      </c>
      <c r="F138" s="639" t="s">
        <v>160</v>
      </c>
      <c r="G138" s="639"/>
      <c r="H138" s="639"/>
      <c r="I138" s="639"/>
      <c r="J138" s="639"/>
      <c r="K138" s="639"/>
      <c r="L138" s="639"/>
      <c r="M138" s="639"/>
      <c r="N138" s="639"/>
      <c r="O138" s="639"/>
      <c r="P138" s="639"/>
      <c r="Q138" s="639"/>
      <c r="R138" s="639"/>
      <c r="S138" s="13"/>
      <c r="T138" s="640">
        <f>M140</f>
        <v>2000</v>
      </c>
      <c r="U138" s="640">
        <f>O141</f>
        <v>2100</v>
      </c>
      <c r="V138" s="640">
        <f>Q142</f>
        <v>2200</v>
      </c>
      <c r="W138" s="38"/>
      <c r="X138" s="48" t="s">
        <v>174</v>
      </c>
    </row>
    <row r="139" spans="1:24" hidden="1" outlineLevel="1" x14ac:dyDescent="0.25">
      <c r="A139" s="644"/>
      <c r="B139" s="646"/>
      <c r="C139" s="38"/>
      <c r="D139" s="643"/>
      <c r="E139" s="643"/>
      <c r="F139" s="7" t="s">
        <v>161</v>
      </c>
      <c r="G139" s="44">
        <v>1</v>
      </c>
      <c r="H139" s="12" t="s">
        <v>80</v>
      </c>
      <c r="I139" s="44">
        <v>2000</v>
      </c>
      <c r="J139" s="12" t="s">
        <v>41</v>
      </c>
      <c r="K139" s="44">
        <f>ROUND((G139*I139),2)</f>
        <v>2000</v>
      </c>
      <c r="L139" s="12" t="s">
        <v>37</v>
      </c>
      <c r="M139" s="12"/>
      <c r="N139" s="12"/>
      <c r="O139" s="12"/>
      <c r="P139" s="12"/>
      <c r="Q139" s="12"/>
      <c r="R139" s="13"/>
      <c r="S139" s="13"/>
      <c r="T139" s="640"/>
      <c r="U139" s="640"/>
      <c r="V139" s="640"/>
      <c r="W139" s="38"/>
      <c r="X139" s="48"/>
    </row>
    <row r="140" spans="1:24" x14ac:dyDescent="0.25">
      <c r="A140" s="644"/>
      <c r="B140" s="646"/>
      <c r="C140" s="38"/>
      <c r="D140" s="643"/>
      <c r="E140" s="643"/>
      <c r="F140" s="18" t="s">
        <v>138</v>
      </c>
      <c r="G140" s="44">
        <f>K139</f>
        <v>2000</v>
      </c>
      <c r="H140" s="13" t="s">
        <v>137</v>
      </c>
      <c r="I140" s="19">
        <f>1.0397-1.0397+1</f>
        <v>1</v>
      </c>
      <c r="J140" s="12" t="s">
        <v>25</v>
      </c>
      <c r="K140" s="44">
        <f>ROUND((G140*I140),2)</f>
        <v>2000</v>
      </c>
      <c r="L140" s="12" t="s">
        <v>41</v>
      </c>
      <c r="M140" s="14">
        <f>ROUNDUP((K140),-2)</f>
        <v>2000</v>
      </c>
      <c r="N140" s="15" t="s">
        <v>37</v>
      </c>
      <c r="O140" s="16"/>
      <c r="P140" s="16"/>
      <c r="Q140" s="16"/>
      <c r="R140" s="16"/>
      <c r="S140" s="13"/>
      <c r="T140" s="641"/>
      <c r="U140" s="641"/>
      <c r="V140" s="641"/>
      <c r="W140" s="38"/>
      <c r="X140" s="48" t="str">
        <f>""&amp;TEXT($G$139,"0,0")&amp;" услуга х "&amp;TEXT(ROUND((K140/$G$139),2),"0 000,00")&amp;" руб. = "&amp;TEXT(ROUND(($G$139*(ROUND((K140/$G$139),2))),2),"0 000,00")&amp;" руб. = "&amp;TEXT(M140,"0 000,00")&amp;" руб."</f>
        <v>1,0 услуга х 2 000,00 руб. = 2 000,00 руб. = 2 000,00 руб.</v>
      </c>
    </row>
    <row r="141" spans="1:24" x14ac:dyDescent="0.25">
      <c r="A141" s="644"/>
      <c r="B141" s="646"/>
      <c r="C141" s="38"/>
      <c r="D141" s="643"/>
      <c r="E141" s="643"/>
      <c r="F141" s="18" t="s">
        <v>139</v>
      </c>
      <c r="G141" s="44">
        <f>G140</f>
        <v>2000</v>
      </c>
      <c r="H141" s="12" t="str">
        <f>H140</f>
        <v>руб. х индекс потребительских цен 2020 года</v>
      </c>
      <c r="I141" s="19">
        <f>$I$140</f>
        <v>1</v>
      </c>
      <c r="J141" s="13" t="s">
        <v>136</v>
      </c>
      <c r="K141" s="19">
        <v>1.0388999999999999</v>
      </c>
      <c r="L141" s="12" t="s">
        <v>25</v>
      </c>
      <c r="M141" s="44">
        <f>ROUND((G141*I141*K141),2)</f>
        <v>2077.8000000000002</v>
      </c>
      <c r="N141" s="12" t="s">
        <v>41</v>
      </c>
      <c r="O141" s="14">
        <f>ROUNDUP((M141),-2)</f>
        <v>2100</v>
      </c>
      <c r="P141" s="15" t="s">
        <v>37</v>
      </c>
      <c r="Q141" s="16"/>
      <c r="R141" s="16"/>
      <c r="S141" s="13"/>
      <c r="T141" s="641"/>
      <c r="U141" s="641"/>
      <c r="V141" s="641"/>
      <c r="W141" s="38"/>
      <c r="X141" s="48" t="str">
        <f>""&amp;TEXT($G$139,"0,0")&amp;" услуга х "&amp;TEXT(ROUND((M141/$G$139),2),"0 000,00")&amp;" руб. = "&amp;TEXT(ROUND(($G$139*(ROUND((M141/$G$139),2))),2),"0 000,00")&amp;" руб. = "&amp;TEXT(O141,"0 000,00")&amp;" руб."</f>
        <v>1,0 услуга х 2 077,80 руб. = 2 077,80 руб. = 2 100,00 руб.</v>
      </c>
    </row>
    <row r="142" spans="1:24" x14ac:dyDescent="0.25">
      <c r="A142" s="644"/>
      <c r="B142" s="646"/>
      <c r="C142" s="38"/>
      <c r="D142" s="643"/>
      <c r="E142" s="643"/>
      <c r="F142" s="18" t="s">
        <v>140</v>
      </c>
      <c r="G142" s="44">
        <f>G141</f>
        <v>2000</v>
      </c>
      <c r="H142" s="12" t="str">
        <f>H140</f>
        <v>руб. х индекс потребительских цен 2020 года</v>
      </c>
      <c r="I142" s="19">
        <f>$I$140</f>
        <v>1</v>
      </c>
      <c r="J142" s="12" t="str">
        <f>J141</f>
        <v>х индекс потребительских цен 2021 года</v>
      </c>
      <c r="K142" s="19">
        <f>$K$141</f>
        <v>1.0388999999999999</v>
      </c>
      <c r="L142" s="13" t="s">
        <v>135</v>
      </c>
      <c r="M142" s="19">
        <v>1.0407999999999999</v>
      </c>
      <c r="N142" s="12" t="s">
        <v>25</v>
      </c>
      <c r="O142" s="44">
        <f>ROUND((G142*I142*K142*M142),2)</f>
        <v>2162.5700000000002</v>
      </c>
      <c r="P142" s="12" t="s">
        <v>41</v>
      </c>
      <c r="Q142" s="14">
        <f>ROUNDUP((O142),-2)</f>
        <v>2200</v>
      </c>
      <c r="R142" s="15" t="s">
        <v>37</v>
      </c>
      <c r="S142" s="13"/>
      <c r="T142" s="641"/>
      <c r="U142" s="641"/>
      <c r="V142" s="641"/>
      <c r="W142" s="38"/>
      <c r="X142" s="48" t="str">
        <f>""&amp;TEXT($G$139,"0,0")&amp;" услуга х "&amp;TEXT(ROUND((O142/$G$139),2),"0 000,00")&amp;" руб. = "&amp;TEXT(ROUND(($G$139*(ROUND((O142/$G$139),2))),2),"0 000,00")&amp;" руб. = "&amp;TEXT(Q142,"0 000,00")&amp;" руб."</f>
        <v>1,0 услуга х 2 162,57 руб. = 2 162,57 руб. = 2 200,00 руб.</v>
      </c>
    </row>
    <row r="143" spans="1:24" ht="15.75" x14ac:dyDescent="0.25">
      <c r="A143" s="1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</row>
    <row r="144" spans="1:24" ht="15.75" x14ac:dyDescent="0.25">
      <c r="A144" s="674" t="s">
        <v>132</v>
      </c>
      <c r="B144" s="674"/>
      <c r="C144" s="674"/>
      <c r="D144" s="674"/>
      <c r="E144" s="674"/>
      <c r="F144" s="674"/>
      <c r="G144" s="674"/>
      <c r="H144" s="674"/>
      <c r="I144" s="674"/>
      <c r="J144" s="674"/>
      <c r="K144" s="674"/>
      <c r="L144" s="674"/>
      <c r="M144" s="674"/>
      <c r="N144" s="674"/>
      <c r="O144" s="674"/>
      <c r="P144" s="674"/>
      <c r="Q144" s="674"/>
      <c r="R144" s="674"/>
      <c r="S144" s="674"/>
      <c r="T144" s="674"/>
      <c r="U144" s="674"/>
      <c r="V144" s="674"/>
      <c r="W144" s="674"/>
      <c r="X144" s="674"/>
    </row>
    <row r="145" spans="1:24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16.5" x14ac:dyDescent="0.25">
      <c r="A146" s="8" t="s">
        <v>133</v>
      </c>
      <c r="X146" s="5" t="s">
        <v>134</v>
      </c>
    </row>
    <row r="148" spans="1:24" x14ac:dyDescent="0.25">
      <c r="A148" s="10">
        <v>43629</v>
      </c>
    </row>
  </sheetData>
  <autoFilter ref="D8:R142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223">
    <mergeCell ref="A144:X144"/>
    <mergeCell ref="V98:V101"/>
    <mergeCell ref="U98:U101"/>
    <mergeCell ref="T98:T101"/>
    <mergeCell ref="F98:R98"/>
    <mergeCell ref="E98:E101"/>
    <mergeCell ref="D98:D101"/>
    <mergeCell ref="B98:B101"/>
    <mergeCell ref="A98:A101"/>
    <mergeCell ref="A117:A120"/>
    <mergeCell ref="B117:B120"/>
    <mergeCell ref="D117:D120"/>
    <mergeCell ref="E117:E120"/>
    <mergeCell ref="F117:R117"/>
    <mergeCell ref="T117:T120"/>
    <mergeCell ref="V121:V125"/>
    <mergeCell ref="U117:U120"/>
    <mergeCell ref="F126:S126"/>
    <mergeCell ref="D113:D116"/>
    <mergeCell ref="E113:E116"/>
    <mergeCell ref="A127:A131"/>
    <mergeCell ref="B127:B131"/>
    <mergeCell ref="D127:D131"/>
    <mergeCell ref="E127:E131"/>
    <mergeCell ref="F71:S71"/>
    <mergeCell ref="V107:V111"/>
    <mergeCell ref="F112:S112"/>
    <mergeCell ref="U64:U68"/>
    <mergeCell ref="F76:R76"/>
    <mergeCell ref="V92:V96"/>
    <mergeCell ref="F97:S97"/>
    <mergeCell ref="U113:U116"/>
    <mergeCell ref="V113:V116"/>
    <mergeCell ref="V87:V91"/>
    <mergeCell ref="U77:U81"/>
    <mergeCell ref="V77:V81"/>
    <mergeCell ref="U82:U86"/>
    <mergeCell ref="V82:V86"/>
    <mergeCell ref="F113:R113"/>
    <mergeCell ref="T113:T116"/>
    <mergeCell ref="A2:X2"/>
    <mergeCell ref="A3:X3"/>
    <mergeCell ref="A4:X4"/>
    <mergeCell ref="A5:X5"/>
    <mergeCell ref="A6:X6"/>
    <mergeCell ref="A8:A9"/>
    <mergeCell ref="B8:B9"/>
    <mergeCell ref="D8:D9"/>
    <mergeCell ref="E8:E9"/>
    <mergeCell ref="F8:R9"/>
    <mergeCell ref="T8:V8"/>
    <mergeCell ref="X8:X9"/>
    <mergeCell ref="F11:S11"/>
    <mergeCell ref="F12:S12"/>
    <mergeCell ref="F13:S13"/>
    <mergeCell ref="F14:S14"/>
    <mergeCell ref="T15:T19"/>
    <mergeCell ref="A30:A36"/>
    <mergeCell ref="B30:B36"/>
    <mergeCell ref="D30:D36"/>
    <mergeCell ref="E30:E36"/>
    <mergeCell ref="F30:R30"/>
    <mergeCell ref="T30:T36"/>
    <mergeCell ref="A20:A24"/>
    <mergeCell ref="B20:B24"/>
    <mergeCell ref="D20:D24"/>
    <mergeCell ref="A15:A19"/>
    <mergeCell ref="B15:B19"/>
    <mergeCell ref="D15:D19"/>
    <mergeCell ref="E15:E19"/>
    <mergeCell ref="F15:R15"/>
    <mergeCell ref="F20:R20"/>
    <mergeCell ref="T20:T24"/>
    <mergeCell ref="F25:S25"/>
    <mergeCell ref="U15:U19"/>
    <mergeCell ref="V15:V19"/>
    <mergeCell ref="E20:E24"/>
    <mergeCell ref="F39:S39"/>
    <mergeCell ref="V40:V44"/>
    <mergeCell ref="A26:A29"/>
    <mergeCell ref="B26:B29"/>
    <mergeCell ref="D26:D29"/>
    <mergeCell ref="E26:E29"/>
    <mergeCell ref="F26:R26"/>
    <mergeCell ref="A40:A44"/>
    <mergeCell ref="B40:B44"/>
    <mergeCell ref="D40:D44"/>
    <mergeCell ref="E40:E44"/>
    <mergeCell ref="U20:U24"/>
    <mergeCell ref="V20:V24"/>
    <mergeCell ref="V30:V36"/>
    <mergeCell ref="F37:S37"/>
    <mergeCell ref="U30:U36"/>
    <mergeCell ref="X31:X32"/>
    <mergeCell ref="X33:X34"/>
    <mergeCell ref="X35:X36"/>
    <mergeCell ref="T26:T29"/>
    <mergeCell ref="U26:U29"/>
    <mergeCell ref="V26:V29"/>
    <mergeCell ref="F38:S38"/>
    <mergeCell ref="U59:U63"/>
    <mergeCell ref="V59:V63"/>
    <mergeCell ref="F40:R40"/>
    <mergeCell ref="T40:T44"/>
    <mergeCell ref="U40:U44"/>
    <mergeCell ref="T59:T63"/>
    <mergeCell ref="T52:T57"/>
    <mergeCell ref="U52:U57"/>
    <mergeCell ref="V52:V57"/>
    <mergeCell ref="T45:T50"/>
    <mergeCell ref="U45:U50"/>
    <mergeCell ref="V45:V50"/>
    <mergeCell ref="D45:D50"/>
    <mergeCell ref="E45:E50"/>
    <mergeCell ref="F45:R45"/>
    <mergeCell ref="F51:S51"/>
    <mergeCell ref="F53:F54"/>
    <mergeCell ref="A59:A63"/>
    <mergeCell ref="F58:S58"/>
    <mergeCell ref="B59:B63"/>
    <mergeCell ref="D59:D63"/>
    <mergeCell ref="E59:E63"/>
    <mergeCell ref="F59:R59"/>
    <mergeCell ref="A45:A50"/>
    <mergeCell ref="B45:B50"/>
    <mergeCell ref="A52:A57"/>
    <mergeCell ref="B52:B57"/>
    <mergeCell ref="D52:D57"/>
    <mergeCell ref="E52:E57"/>
    <mergeCell ref="F52:R52"/>
    <mergeCell ref="A69:A70"/>
    <mergeCell ref="D69:D70"/>
    <mergeCell ref="E69:E70"/>
    <mergeCell ref="F69:S70"/>
    <mergeCell ref="T69:T70"/>
    <mergeCell ref="U69:U70"/>
    <mergeCell ref="V69:V70"/>
    <mergeCell ref="V64:V68"/>
    <mergeCell ref="A64:A68"/>
    <mergeCell ref="B64:B68"/>
    <mergeCell ref="D64:D68"/>
    <mergeCell ref="E64:E68"/>
    <mergeCell ref="F64:R64"/>
    <mergeCell ref="T64:T68"/>
    <mergeCell ref="A72:A75"/>
    <mergeCell ref="B72:B75"/>
    <mergeCell ref="D72:D75"/>
    <mergeCell ref="E72:E75"/>
    <mergeCell ref="F72:R72"/>
    <mergeCell ref="T72:T75"/>
    <mergeCell ref="U72:U75"/>
    <mergeCell ref="V72:V75"/>
    <mergeCell ref="V117:V120"/>
    <mergeCell ref="A102:A106"/>
    <mergeCell ref="B102:B106"/>
    <mergeCell ref="D102:D106"/>
    <mergeCell ref="E102:E106"/>
    <mergeCell ref="F102:R102"/>
    <mergeCell ref="T102:T106"/>
    <mergeCell ref="U102:U106"/>
    <mergeCell ref="V102:V106"/>
    <mergeCell ref="A107:A111"/>
    <mergeCell ref="B107:B111"/>
    <mergeCell ref="D107:D111"/>
    <mergeCell ref="E107:E111"/>
    <mergeCell ref="F107:R107"/>
    <mergeCell ref="T107:T111"/>
    <mergeCell ref="A82:A86"/>
    <mergeCell ref="B82:B86"/>
    <mergeCell ref="D82:D86"/>
    <mergeCell ref="E82:E86"/>
    <mergeCell ref="F82:R82"/>
    <mergeCell ref="T82:T86"/>
    <mergeCell ref="A77:A81"/>
    <mergeCell ref="B77:B81"/>
    <mergeCell ref="D77:D81"/>
    <mergeCell ref="E77:E81"/>
    <mergeCell ref="F77:R77"/>
    <mergeCell ref="T77:T81"/>
    <mergeCell ref="A87:A91"/>
    <mergeCell ref="B87:B91"/>
    <mergeCell ref="D87:D91"/>
    <mergeCell ref="E87:E91"/>
    <mergeCell ref="F87:R87"/>
    <mergeCell ref="T87:T91"/>
    <mergeCell ref="U87:U91"/>
    <mergeCell ref="A121:A125"/>
    <mergeCell ref="B121:B125"/>
    <mergeCell ref="D121:D125"/>
    <mergeCell ref="E121:E125"/>
    <mergeCell ref="F121:R121"/>
    <mergeCell ref="T121:T125"/>
    <mergeCell ref="U121:U125"/>
    <mergeCell ref="A92:A96"/>
    <mergeCell ref="B92:B96"/>
    <mergeCell ref="U107:U111"/>
    <mergeCell ref="D92:D96"/>
    <mergeCell ref="E92:E96"/>
    <mergeCell ref="T92:T96"/>
    <mergeCell ref="U92:U96"/>
    <mergeCell ref="F92:R92"/>
    <mergeCell ref="A113:A116"/>
    <mergeCell ref="B113:B116"/>
    <mergeCell ref="F127:R127"/>
    <mergeCell ref="T127:T131"/>
    <mergeCell ref="U127:U131"/>
    <mergeCell ref="V127:V131"/>
    <mergeCell ref="D132:D137"/>
    <mergeCell ref="A138:A142"/>
    <mergeCell ref="B138:B142"/>
    <mergeCell ref="D138:D142"/>
    <mergeCell ref="E138:E142"/>
    <mergeCell ref="T138:T142"/>
    <mergeCell ref="U138:U142"/>
    <mergeCell ref="V138:V142"/>
    <mergeCell ref="E132:E137"/>
    <mergeCell ref="F132:R132"/>
    <mergeCell ref="T132:T137"/>
    <mergeCell ref="U132:U137"/>
    <mergeCell ref="V132:V137"/>
    <mergeCell ref="F138:R138"/>
    <mergeCell ref="A132:A137"/>
    <mergeCell ref="B132:B137"/>
  </mergeCells>
  <pageMargins left="0.35433070866141736" right="0.19685039370078741" top="0.47244094488188981" bottom="0.23622047244094491" header="0.31496062992125984" footer="0.19685039370078741"/>
  <pageSetup paperSize="9" scale="69" fitToWidth="0" fitToHeight="0" orientation="landscape" r:id="rId1"/>
  <rowBreaks count="7" manualBreakCount="7">
    <brk id="19" max="23" man="1"/>
    <brk id="36" max="23" man="1"/>
    <brk id="50" max="23" man="1"/>
    <brk id="68" max="23" man="1"/>
    <brk id="81" max="23" man="1"/>
    <brk id="101" max="23" man="1"/>
    <brk id="125" max="2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"/>
  <sheetViews>
    <sheetView workbookViewId="0">
      <selection activeCell="B2" sqref="B2"/>
    </sheetView>
  </sheetViews>
  <sheetFormatPr defaultRowHeight="15" x14ac:dyDescent="0.25"/>
  <sheetData>
    <row r="2" spans="2:2" x14ac:dyDescent="0.25">
      <c r="B2" t="s">
        <v>232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Y211"/>
  <sheetViews>
    <sheetView tabSelected="1" view="pageLayout" topLeftCell="B1" zoomScale="60" zoomScaleNormal="62" zoomScaleSheetLayoutView="62" zoomScalePageLayoutView="60" workbookViewId="0">
      <selection activeCell="B11" sqref="B11"/>
    </sheetView>
  </sheetViews>
  <sheetFormatPr defaultColWidth="9.140625" defaultRowHeight="18.75" outlineLevelRow="1" outlineLevelCol="1" x14ac:dyDescent="0.25"/>
  <cols>
    <col min="1" max="1" width="9.5703125" style="55" customWidth="1"/>
    <col min="2" max="2" width="215.42578125" style="154" customWidth="1" collapsed="1"/>
    <col min="3" max="3" width="28.28515625" style="55" hidden="1" customWidth="1" outlineLevel="1" collapsed="1"/>
    <col min="4" max="4" width="9" style="55" hidden="1" customWidth="1" outlineLevel="1"/>
    <col min="5" max="5" width="9" style="55" hidden="1" customWidth="1" outlineLevel="1" collapsed="1"/>
    <col min="6" max="6" width="29" style="55" hidden="1" customWidth="1" outlineLevel="1"/>
    <col min="7" max="7" width="13.5703125" style="55" hidden="1" customWidth="1" outlineLevel="1"/>
    <col min="8" max="8" width="32.85546875" style="55" hidden="1" customWidth="1" outlineLevel="1"/>
    <col min="9" max="9" width="16.7109375" style="55" hidden="1" customWidth="1" outlineLevel="1"/>
    <col min="10" max="10" width="29.85546875" style="55" hidden="1" customWidth="1" outlineLevel="1"/>
    <col min="11" max="11" width="17.140625" style="55" hidden="1" customWidth="1" outlineLevel="1"/>
    <col min="12" max="12" width="13.140625" style="55" hidden="1" customWidth="1" outlineLevel="1"/>
    <col min="13" max="13" width="18" style="55" hidden="1" customWidth="1" outlineLevel="1"/>
    <col min="14" max="14" width="26.7109375" style="55" hidden="1" customWidth="1" outlineLevel="1"/>
    <col min="15" max="15" width="24.85546875" style="55" hidden="1" customWidth="1" outlineLevel="1"/>
    <col min="16" max="16" width="10.42578125" style="55" hidden="1" customWidth="1" outlineLevel="1"/>
    <col min="17" max="17" width="26" style="55" hidden="1" customWidth="1" outlineLevel="1"/>
    <col min="18" max="18" width="10.5703125" style="55" hidden="1" customWidth="1" outlineLevel="1"/>
    <col min="19" max="19" width="4.140625" style="55" hidden="1" customWidth="1" collapsed="1"/>
    <col min="20" max="22" width="34.140625" style="154" customWidth="1"/>
    <col min="23" max="23" width="9.85546875" style="55" customWidth="1"/>
    <col min="24" max="24" width="7.140625" style="55" customWidth="1"/>
    <col min="25" max="25" width="15.42578125" style="55" customWidth="1"/>
    <col min="26" max="26" width="87.7109375" style="55" customWidth="1"/>
    <col min="27" max="16384" width="9.140625" style="55"/>
  </cols>
  <sheetData>
    <row r="1" spans="1:25" ht="66.75" customHeight="1" x14ac:dyDescent="0.25">
      <c r="A1" s="374"/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449" t="s">
        <v>466</v>
      </c>
      <c r="U1" s="449"/>
      <c r="V1" s="449"/>
      <c r="W1" s="374"/>
      <c r="X1" s="374"/>
      <c r="Y1" s="374"/>
    </row>
    <row r="2" spans="1:25" ht="90.75" customHeight="1" x14ac:dyDescent="0.25">
      <c r="A2" s="374"/>
      <c r="B2" s="374"/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374"/>
      <c r="N2" s="374"/>
      <c r="O2" s="374"/>
      <c r="P2" s="374"/>
      <c r="Q2" s="374"/>
      <c r="R2" s="374"/>
      <c r="S2" s="374"/>
      <c r="T2" s="449"/>
      <c r="U2" s="449"/>
      <c r="V2" s="449"/>
      <c r="W2" s="374"/>
      <c r="X2" s="374"/>
      <c r="Y2" s="374"/>
    </row>
    <row r="3" spans="1:25" ht="25.5" customHeight="1" x14ac:dyDescent="0.25">
      <c r="A3" s="444" t="s">
        <v>464</v>
      </c>
      <c r="B3" s="445"/>
      <c r="C3" s="445"/>
      <c r="D3" s="445"/>
      <c r="E3" s="445"/>
      <c r="F3" s="445"/>
      <c r="G3" s="445"/>
      <c r="H3" s="445"/>
      <c r="I3" s="445"/>
      <c r="J3" s="445"/>
      <c r="K3" s="445"/>
      <c r="L3" s="445"/>
      <c r="M3" s="445"/>
      <c r="N3" s="445"/>
      <c r="O3" s="445"/>
      <c r="P3" s="445"/>
      <c r="Q3" s="445"/>
      <c r="R3" s="445"/>
      <c r="S3" s="445"/>
      <c r="T3" s="445"/>
      <c r="U3" s="445"/>
      <c r="V3" s="445"/>
    </row>
    <row r="4" spans="1:25" ht="23.25" customHeight="1" x14ac:dyDescent="0.25">
      <c r="A4" s="444" t="s">
        <v>2</v>
      </c>
      <c r="B4" s="445"/>
      <c r="C4" s="445"/>
      <c r="D4" s="445"/>
      <c r="E4" s="445"/>
      <c r="F4" s="445"/>
      <c r="G4" s="445"/>
      <c r="H4" s="445"/>
      <c r="I4" s="445"/>
      <c r="J4" s="445"/>
      <c r="K4" s="445"/>
      <c r="L4" s="445"/>
      <c r="M4" s="445"/>
      <c r="N4" s="445"/>
      <c r="O4" s="445"/>
      <c r="P4" s="445"/>
      <c r="Q4" s="445"/>
      <c r="R4" s="445"/>
      <c r="S4" s="445"/>
      <c r="T4" s="445"/>
      <c r="U4" s="445"/>
      <c r="V4" s="445"/>
    </row>
    <row r="5" spans="1:25" ht="15" x14ac:dyDescent="0.25">
      <c r="A5" s="446" t="s">
        <v>3</v>
      </c>
      <c r="B5" s="445"/>
      <c r="C5" s="445"/>
      <c r="D5" s="445"/>
      <c r="E5" s="445"/>
      <c r="F5" s="445"/>
      <c r="G5" s="445"/>
      <c r="H5" s="445"/>
      <c r="I5" s="445"/>
      <c r="J5" s="445"/>
      <c r="K5" s="445"/>
      <c r="L5" s="445"/>
      <c r="M5" s="445"/>
      <c r="N5" s="445"/>
      <c r="O5" s="445"/>
      <c r="P5" s="445"/>
      <c r="Q5" s="445"/>
      <c r="R5" s="445"/>
      <c r="S5" s="445"/>
      <c r="T5" s="445"/>
      <c r="U5" s="445"/>
      <c r="V5" s="445"/>
    </row>
    <row r="6" spans="1:25" ht="21" customHeight="1" x14ac:dyDescent="0.25">
      <c r="A6" s="447" t="s">
        <v>465</v>
      </c>
      <c r="B6" s="445"/>
      <c r="C6" s="445"/>
      <c r="D6" s="445"/>
      <c r="E6" s="445"/>
      <c r="F6" s="445"/>
      <c r="G6" s="445"/>
      <c r="H6" s="445"/>
      <c r="I6" s="445"/>
      <c r="J6" s="445"/>
      <c r="K6" s="445"/>
      <c r="L6" s="445"/>
      <c r="M6" s="445"/>
      <c r="N6" s="445"/>
      <c r="O6" s="445"/>
      <c r="P6" s="445"/>
      <c r="Q6" s="445"/>
      <c r="R6" s="445"/>
      <c r="S6" s="445"/>
      <c r="T6" s="445"/>
      <c r="U6" s="445"/>
      <c r="V6" s="445"/>
    </row>
    <row r="7" spans="1:25" x14ac:dyDescent="0.25">
      <c r="A7" s="59"/>
    </row>
    <row r="8" spans="1:25" x14ac:dyDescent="0.25">
      <c r="A8" s="383" t="s">
        <v>24</v>
      </c>
      <c r="B8" s="448" t="s">
        <v>4</v>
      </c>
      <c r="C8" s="355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55"/>
      <c r="T8" s="448" t="s">
        <v>23</v>
      </c>
      <c r="U8" s="448"/>
      <c r="V8" s="448"/>
    </row>
    <row r="9" spans="1:25" x14ac:dyDescent="0.25">
      <c r="A9" s="383"/>
      <c r="B9" s="448"/>
      <c r="C9" s="355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355"/>
      <c r="T9" s="249">
        <v>2024</v>
      </c>
      <c r="U9" s="249">
        <v>2025</v>
      </c>
      <c r="V9" s="249">
        <v>2026</v>
      </c>
    </row>
    <row r="10" spans="1:25" x14ac:dyDescent="0.25">
      <c r="A10" s="355">
        <v>1</v>
      </c>
      <c r="B10" s="356">
        <v>2</v>
      </c>
      <c r="C10" s="355"/>
      <c r="D10" s="355"/>
      <c r="E10" s="355"/>
      <c r="F10" s="355"/>
      <c r="G10" s="355"/>
      <c r="H10" s="355"/>
      <c r="I10" s="355"/>
      <c r="J10" s="355"/>
      <c r="K10" s="355"/>
      <c r="L10" s="355"/>
      <c r="M10" s="355"/>
      <c r="N10" s="355"/>
      <c r="O10" s="355"/>
      <c r="P10" s="355"/>
      <c r="Q10" s="355"/>
      <c r="R10" s="355"/>
      <c r="S10" s="355"/>
      <c r="T10" s="356">
        <v>3</v>
      </c>
      <c r="U10" s="356">
        <v>4</v>
      </c>
      <c r="V10" s="356">
        <v>5</v>
      </c>
    </row>
    <row r="11" spans="1:25" ht="34.5" customHeight="1" x14ac:dyDescent="0.25">
      <c r="A11" s="62">
        <v>1</v>
      </c>
      <c r="B11" s="257" t="s">
        <v>392</v>
      </c>
      <c r="C11" s="63"/>
      <c r="D11" s="363" t="s">
        <v>35</v>
      </c>
      <c r="E11" s="363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251">
        <f>T12</f>
        <v>2920600</v>
      </c>
      <c r="U11" s="251">
        <f t="shared" ref="U11:V11" si="0">U12</f>
        <v>3042500</v>
      </c>
      <c r="V11" s="251">
        <f t="shared" si="0"/>
        <v>3165000</v>
      </c>
    </row>
    <row r="12" spans="1:25" ht="28.5" customHeight="1" x14ac:dyDescent="0.25">
      <c r="A12" s="357" t="s">
        <v>5</v>
      </c>
      <c r="B12" s="358" t="s">
        <v>424</v>
      </c>
      <c r="C12" s="52"/>
      <c r="D12" s="363" t="s">
        <v>35</v>
      </c>
      <c r="E12" s="363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252">
        <f>SUM(T13,T17)</f>
        <v>2920600</v>
      </c>
      <c r="U12" s="252">
        <f t="shared" ref="U12:V12" si="1">SUM(U13,U17)</f>
        <v>3042500</v>
      </c>
      <c r="V12" s="252">
        <f t="shared" si="1"/>
        <v>3165000</v>
      </c>
    </row>
    <row r="13" spans="1:25" ht="15" x14ac:dyDescent="0.25">
      <c r="A13" s="438" t="s">
        <v>6</v>
      </c>
      <c r="B13" s="376" t="s">
        <v>425</v>
      </c>
      <c r="C13" s="52"/>
      <c r="D13" s="378">
        <v>346</v>
      </c>
      <c r="E13" s="378">
        <v>242</v>
      </c>
      <c r="F13" s="443" t="s">
        <v>241</v>
      </c>
      <c r="G13" s="443"/>
      <c r="H13" s="443"/>
      <c r="I13" s="443"/>
      <c r="J13" s="443"/>
      <c r="K13" s="443"/>
      <c r="L13" s="443"/>
      <c r="M13" s="443"/>
      <c r="N13" s="443"/>
      <c r="O13" s="443"/>
      <c r="P13" s="443"/>
      <c r="Q13" s="443"/>
      <c r="R13" s="443"/>
      <c r="S13" s="65"/>
      <c r="T13" s="381">
        <f>M14</f>
        <v>141000</v>
      </c>
      <c r="U13" s="381">
        <f>M15</f>
        <v>147400</v>
      </c>
      <c r="V13" s="381">
        <f>M16</f>
        <v>154200</v>
      </c>
    </row>
    <row r="14" spans="1:25" ht="15" x14ac:dyDescent="0.25">
      <c r="A14" s="438"/>
      <c r="B14" s="377"/>
      <c r="C14" s="52"/>
      <c r="D14" s="379"/>
      <c r="E14" s="379"/>
      <c r="F14" s="68" t="s">
        <v>226</v>
      </c>
      <c r="G14" s="70">
        <v>1</v>
      </c>
      <c r="H14" s="67" t="s">
        <v>253</v>
      </c>
      <c r="I14" s="364">
        <f>12418300*1.0822*1.0487</f>
        <v>14093567.663462</v>
      </c>
      <c r="J14" s="67" t="s">
        <v>41</v>
      </c>
      <c r="K14" s="364">
        <f>ROUND((G14%*I14),2)</f>
        <v>140935.67999999999</v>
      </c>
      <c r="L14" s="67" t="s">
        <v>41</v>
      </c>
      <c r="M14" s="70">
        <f>ROUNDUP((K14),-2)</f>
        <v>141000</v>
      </c>
      <c r="N14" s="71" t="s">
        <v>37</v>
      </c>
      <c r="O14" s="61"/>
      <c r="P14" s="61"/>
      <c r="Q14" s="61"/>
      <c r="R14" s="61"/>
      <c r="S14" s="65"/>
      <c r="T14" s="381"/>
      <c r="U14" s="381"/>
      <c r="V14" s="381"/>
    </row>
    <row r="15" spans="1:25" ht="4.5" customHeight="1" x14ac:dyDescent="0.25">
      <c r="A15" s="438"/>
      <c r="B15" s="377"/>
      <c r="C15" s="52"/>
      <c r="D15" s="379"/>
      <c r="E15" s="379"/>
      <c r="F15" s="68" t="s">
        <v>240</v>
      </c>
      <c r="G15" s="70">
        <v>1</v>
      </c>
      <c r="H15" s="67" t="s">
        <v>253</v>
      </c>
      <c r="I15" s="364">
        <f>I14*1.0457</f>
        <v>14737643.705682214</v>
      </c>
      <c r="J15" s="67" t="s">
        <v>41</v>
      </c>
      <c r="K15" s="364">
        <f>ROUND((G15%*I15),2)</f>
        <v>147376.44</v>
      </c>
      <c r="L15" s="67" t="s">
        <v>41</v>
      </c>
      <c r="M15" s="70">
        <f t="shared" ref="M15:M16" si="2">ROUNDUP((K15),-2)</f>
        <v>147400</v>
      </c>
      <c r="N15" s="71" t="s">
        <v>37</v>
      </c>
      <c r="O15" s="61"/>
      <c r="P15" s="61"/>
      <c r="Q15" s="61"/>
      <c r="R15" s="61"/>
      <c r="S15" s="65"/>
      <c r="T15" s="381"/>
      <c r="U15" s="381"/>
      <c r="V15" s="381"/>
    </row>
    <row r="16" spans="1:25" ht="3.75" customHeight="1" x14ac:dyDescent="0.25">
      <c r="A16" s="438"/>
      <c r="B16" s="377"/>
      <c r="C16" s="52"/>
      <c r="D16" s="379"/>
      <c r="E16" s="379"/>
      <c r="F16" s="68" t="s">
        <v>380</v>
      </c>
      <c r="G16" s="70">
        <v>1</v>
      </c>
      <c r="H16" s="67" t="s">
        <v>253</v>
      </c>
      <c r="I16" s="364">
        <f>I15*1.0457</f>
        <v>15411154.023031892</v>
      </c>
      <c r="J16" s="67" t="s">
        <v>41</v>
      </c>
      <c r="K16" s="364">
        <f>ROUND((G16%*I16),2)</f>
        <v>154111.54</v>
      </c>
      <c r="L16" s="67" t="s">
        <v>41</v>
      </c>
      <c r="M16" s="70">
        <f t="shared" si="2"/>
        <v>154200</v>
      </c>
      <c r="N16" s="71" t="s">
        <v>37</v>
      </c>
      <c r="O16" s="61"/>
      <c r="P16" s="61"/>
      <c r="Q16" s="61"/>
      <c r="R16" s="61"/>
      <c r="S16" s="65"/>
      <c r="T16" s="381"/>
      <c r="U16" s="381"/>
      <c r="V16" s="381"/>
    </row>
    <row r="17" spans="1:22" s="353" customFormat="1" ht="23.25" x14ac:dyDescent="0.25">
      <c r="A17" s="438" t="s">
        <v>225</v>
      </c>
      <c r="B17" s="440" t="s">
        <v>426</v>
      </c>
      <c r="C17" s="352"/>
      <c r="D17" s="378">
        <v>346</v>
      </c>
      <c r="E17" s="378">
        <v>242</v>
      </c>
      <c r="F17" s="425" t="s">
        <v>384</v>
      </c>
      <c r="G17" s="425"/>
      <c r="H17" s="425"/>
      <c r="I17" s="425"/>
      <c r="J17" s="425"/>
      <c r="K17" s="425"/>
      <c r="L17" s="425"/>
      <c r="M17" s="425"/>
      <c r="N17" s="425"/>
      <c r="O17" s="425"/>
      <c r="P17" s="425"/>
      <c r="Q17" s="425"/>
      <c r="R17" s="425"/>
      <c r="S17" s="67"/>
      <c r="T17" s="381">
        <f>M19</f>
        <v>2779600</v>
      </c>
      <c r="U17" s="381">
        <f>M21</f>
        <v>2895100</v>
      </c>
      <c r="V17" s="381">
        <f>M23</f>
        <v>3010800</v>
      </c>
    </row>
    <row r="18" spans="1:22" ht="0.75" customHeight="1" x14ac:dyDescent="0.25">
      <c r="A18" s="438"/>
      <c r="B18" s="441"/>
      <c r="C18" s="64"/>
      <c r="D18" s="379"/>
      <c r="E18" s="379"/>
      <c r="F18" s="68" t="s">
        <v>229</v>
      </c>
      <c r="G18" s="364">
        <v>43499</v>
      </c>
      <c r="H18" s="67" t="s">
        <v>42</v>
      </c>
      <c r="I18" s="364">
        <v>213</v>
      </c>
      <c r="J18" s="67" t="s">
        <v>45</v>
      </c>
      <c r="K18" s="364">
        <v>5</v>
      </c>
      <c r="L18" s="67" t="s">
        <v>43</v>
      </c>
      <c r="M18" s="364">
        <v>0</v>
      </c>
      <c r="N18" s="67" t="s">
        <v>44</v>
      </c>
      <c r="O18" s="364">
        <f>ROUND((G18*(I18/K18+M18)),-2)</f>
        <v>1853100</v>
      </c>
      <c r="P18" s="67" t="s">
        <v>37</v>
      </c>
      <c r="Q18" s="67"/>
      <c r="R18" s="65"/>
      <c r="S18" s="65"/>
      <c r="T18" s="381"/>
      <c r="U18" s="381"/>
      <c r="V18" s="381"/>
    </row>
    <row r="19" spans="1:22" ht="4.5" customHeight="1" x14ac:dyDescent="0.25">
      <c r="A19" s="438"/>
      <c r="B19" s="441"/>
      <c r="C19" s="64"/>
      <c r="D19" s="379"/>
      <c r="E19" s="379"/>
      <c r="F19" s="68" t="str">
        <f>F14</f>
        <v>норматив на 2024 год :</v>
      </c>
      <c r="G19" s="70">
        <v>150</v>
      </c>
      <c r="H19" s="67" t="s">
        <v>40</v>
      </c>
      <c r="I19" s="364">
        <f>O18</f>
        <v>1853100</v>
      </c>
      <c r="J19" s="67" t="s">
        <v>41</v>
      </c>
      <c r="K19" s="364">
        <f>ROUND((G19%*I19),2)</f>
        <v>2779650</v>
      </c>
      <c r="L19" s="67" t="s">
        <v>41</v>
      </c>
      <c r="M19" s="70">
        <f>ROUNDDOWN((K19),-2)</f>
        <v>2779600</v>
      </c>
      <c r="N19" s="71" t="s">
        <v>37</v>
      </c>
      <c r="O19" s="61"/>
      <c r="P19" s="61"/>
      <c r="Q19" s="61"/>
      <c r="R19" s="61"/>
      <c r="S19" s="65"/>
      <c r="T19" s="381"/>
      <c r="U19" s="381"/>
      <c r="V19" s="381"/>
    </row>
    <row r="20" spans="1:22" ht="15" hidden="1" x14ac:dyDescent="0.25">
      <c r="A20" s="438"/>
      <c r="B20" s="441"/>
      <c r="C20" s="64"/>
      <c r="D20" s="379"/>
      <c r="E20" s="379"/>
      <c r="F20" s="68" t="s">
        <v>242</v>
      </c>
      <c r="G20" s="364">
        <v>45308.56</v>
      </c>
      <c r="H20" s="67" t="s">
        <v>42</v>
      </c>
      <c r="I20" s="364">
        <v>213</v>
      </c>
      <c r="J20" s="67" t="s">
        <v>45</v>
      </c>
      <c r="K20" s="364">
        <v>5</v>
      </c>
      <c r="L20" s="67" t="s">
        <v>43</v>
      </c>
      <c r="M20" s="364">
        <v>0</v>
      </c>
      <c r="N20" s="67" t="s">
        <v>44</v>
      </c>
      <c r="O20" s="364">
        <f>ROUND((G20*(I20/K20+M20)),-2)</f>
        <v>1930100</v>
      </c>
      <c r="P20" s="67" t="s">
        <v>37</v>
      </c>
      <c r="Q20" s="67"/>
      <c r="R20" s="65"/>
      <c r="S20" s="65"/>
      <c r="T20" s="381"/>
      <c r="U20" s="381"/>
      <c r="V20" s="381"/>
    </row>
    <row r="21" spans="1:22" ht="15" hidden="1" x14ac:dyDescent="0.25">
      <c r="A21" s="438"/>
      <c r="B21" s="441"/>
      <c r="C21" s="64"/>
      <c r="D21" s="379"/>
      <c r="E21" s="379"/>
      <c r="F21" s="68" t="str">
        <f>F15</f>
        <v>норматив на 2025 год :</v>
      </c>
      <c r="G21" s="70">
        <v>150</v>
      </c>
      <c r="H21" s="67" t="s">
        <v>40</v>
      </c>
      <c r="I21" s="364">
        <f>O20</f>
        <v>1930100</v>
      </c>
      <c r="J21" s="67" t="s">
        <v>41</v>
      </c>
      <c r="K21" s="364">
        <f>ROUND((G21%*I21),2)</f>
        <v>2895150</v>
      </c>
      <c r="L21" s="67" t="s">
        <v>41</v>
      </c>
      <c r="M21" s="70">
        <f>ROUNDDOWN((K21),-2)</f>
        <v>2895100</v>
      </c>
      <c r="N21" s="71" t="s">
        <v>37</v>
      </c>
      <c r="O21" s="61"/>
      <c r="P21" s="61"/>
      <c r="Q21" s="61"/>
      <c r="R21" s="61"/>
      <c r="S21" s="65"/>
      <c r="T21" s="442"/>
      <c r="U21" s="442"/>
      <c r="V21" s="442"/>
    </row>
    <row r="22" spans="1:22" ht="15" hidden="1" x14ac:dyDescent="0.25">
      <c r="A22" s="438"/>
      <c r="B22" s="441"/>
      <c r="C22" s="64"/>
      <c r="D22" s="379"/>
      <c r="E22" s="379"/>
      <c r="F22" s="68" t="s">
        <v>381</v>
      </c>
      <c r="G22" s="364">
        <v>47116.37</v>
      </c>
      <c r="H22" s="67" t="s">
        <v>42</v>
      </c>
      <c r="I22" s="364">
        <v>213</v>
      </c>
      <c r="J22" s="67" t="s">
        <v>45</v>
      </c>
      <c r="K22" s="364">
        <v>5</v>
      </c>
      <c r="L22" s="67" t="s">
        <v>43</v>
      </c>
      <c r="M22" s="364">
        <v>0</v>
      </c>
      <c r="N22" s="67" t="s">
        <v>44</v>
      </c>
      <c r="O22" s="364">
        <f>ROUND((G22*(I22/K22+M22)),-2)</f>
        <v>2007200</v>
      </c>
      <c r="P22" s="67" t="s">
        <v>37</v>
      </c>
      <c r="Q22" s="67"/>
      <c r="R22" s="65"/>
      <c r="S22" s="61"/>
      <c r="T22" s="442"/>
      <c r="U22" s="442"/>
      <c r="V22" s="442"/>
    </row>
    <row r="23" spans="1:22" ht="15.75" hidden="1" x14ac:dyDescent="0.25">
      <c r="A23" s="438"/>
      <c r="B23" s="441"/>
      <c r="C23" s="52"/>
      <c r="D23" s="379"/>
      <c r="E23" s="379"/>
      <c r="F23" s="68" t="str">
        <f>F16</f>
        <v>норматив на 2026 год :</v>
      </c>
      <c r="G23" s="70">
        <v>150</v>
      </c>
      <c r="H23" s="67" t="s">
        <v>40</v>
      </c>
      <c r="I23" s="364">
        <f>O22</f>
        <v>2007200</v>
      </c>
      <c r="J23" s="67" t="s">
        <v>41</v>
      </c>
      <c r="K23" s="129">
        <f>ROUND((G23%*I23),2)</f>
        <v>3010800</v>
      </c>
      <c r="L23" s="67" t="s">
        <v>41</v>
      </c>
      <c r="M23" s="70">
        <f>ROUNDDOWN((K23),-2)</f>
        <v>3010800</v>
      </c>
      <c r="N23" s="71" t="s">
        <v>37</v>
      </c>
      <c r="O23" s="61"/>
      <c r="P23" s="61"/>
      <c r="Q23" s="61"/>
      <c r="R23" s="61"/>
      <c r="S23" s="65"/>
      <c r="T23" s="442"/>
      <c r="U23" s="442"/>
      <c r="V23" s="442"/>
    </row>
    <row r="24" spans="1:22" ht="41.25" customHeight="1" x14ac:dyDescent="0.25">
      <c r="A24" s="62">
        <v>2</v>
      </c>
      <c r="B24" s="115" t="s">
        <v>391</v>
      </c>
      <c r="C24" s="63"/>
      <c r="D24" s="248" t="s">
        <v>35</v>
      </c>
      <c r="E24" s="248" t="s">
        <v>35</v>
      </c>
      <c r="F24" s="439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251">
        <f>T25+T31+T77+T137+T152</f>
        <v>15340100</v>
      </c>
      <c r="U24" s="251">
        <f t="shared" ref="U24:V24" si="3">U25+U31+U77+U137+U152</f>
        <v>16015500</v>
      </c>
      <c r="V24" s="251">
        <f t="shared" si="3"/>
        <v>16709600</v>
      </c>
    </row>
    <row r="25" spans="1:22" ht="26.25" customHeight="1" x14ac:dyDescent="0.25">
      <c r="A25" s="283" t="s">
        <v>9</v>
      </c>
      <c r="B25" s="358" t="s">
        <v>393</v>
      </c>
      <c r="C25" s="52"/>
      <c r="D25" s="248" t="s">
        <v>35</v>
      </c>
      <c r="E25" s="248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251">
        <f>T26</f>
        <v>103200</v>
      </c>
      <c r="U25" s="251">
        <f t="shared" ref="U25:V25" si="4">U26</f>
        <v>107900</v>
      </c>
      <c r="V25" s="251">
        <f t="shared" si="4"/>
        <v>112800</v>
      </c>
    </row>
    <row r="26" spans="1:22" ht="15" x14ac:dyDescent="0.25">
      <c r="A26" s="375" t="s">
        <v>10</v>
      </c>
      <c r="B26" s="440" t="s">
        <v>394</v>
      </c>
      <c r="C26" s="64"/>
      <c r="D26" s="378">
        <v>221</v>
      </c>
      <c r="E26" s="378">
        <v>244</v>
      </c>
      <c r="F26" s="380" t="s">
        <v>395</v>
      </c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65"/>
      <c r="T26" s="381">
        <f>O28</f>
        <v>103200</v>
      </c>
      <c r="U26" s="381">
        <f>O29</f>
        <v>107900</v>
      </c>
      <c r="V26" s="381">
        <f>O30</f>
        <v>112800</v>
      </c>
    </row>
    <row r="27" spans="1:22" ht="15" outlineLevel="1" x14ac:dyDescent="0.25">
      <c r="A27" s="375"/>
      <c r="B27" s="441"/>
      <c r="C27" s="64"/>
      <c r="D27" s="379"/>
      <c r="E27" s="384"/>
      <c r="F27" s="61">
        <v>2024</v>
      </c>
      <c r="G27" s="364">
        <v>1</v>
      </c>
      <c r="H27" s="67" t="s">
        <v>396</v>
      </c>
      <c r="I27" s="364">
        <v>1</v>
      </c>
      <c r="J27" s="67"/>
      <c r="K27" s="364"/>
      <c r="L27" s="67" t="s">
        <v>41</v>
      </c>
      <c r="M27" s="364">
        <f>ROUND((G27*I27*K27),0)</f>
        <v>0</v>
      </c>
      <c r="N27" s="67" t="s">
        <v>37</v>
      </c>
      <c r="O27" s="67"/>
      <c r="P27" s="67"/>
      <c r="Q27" s="67"/>
      <c r="R27" s="65"/>
      <c r="S27" s="65"/>
      <c r="T27" s="381"/>
      <c r="U27" s="381"/>
      <c r="V27" s="381"/>
    </row>
    <row r="28" spans="1:22" ht="3.75" customHeight="1" x14ac:dyDescent="0.25">
      <c r="A28" s="375"/>
      <c r="B28" s="441"/>
      <c r="C28" s="64"/>
      <c r="D28" s="379"/>
      <c r="E28" s="384"/>
      <c r="F28" s="68" t="str">
        <f>F8</f>
        <v>РАСЧЕТ</v>
      </c>
      <c r="G28" s="364">
        <v>1</v>
      </c>
      <c r="H28" s="65" t="s">
        <v>397</v>
      </c>
      <c r="I28" s="364">
        <v>1</v>
      </c>
      <c r="J28" s="67"/>
      <c r="K28" s="129">
        <f>103132</f>
        <v>103132</v>
      </c>
      <c r="L28" s="67" t="s">
        <v>41</v>
      </c>
      <c r="M28" s="70">
        <f>ROUNDUP((K28),-1)</f>
        <v>103140</v>
      </c>
      <c r="N28" s="71" t="s">
        <v>37</v>
      </c>
      <c r="O28" s="70">
        <f>ROUNDUP((M28),-2)</f>
        <v>103200</v>
      </c>
      <c r="P28" s="71" t="s">
        <v>37</v>
      </c>
      <c r="Q28" s="359"/>
      <c r="R28" s="359"/>
      <c r="S28" s="65"/>
      <c r="T28" s="381"/>
      <c r="U28" s="381"/>
      <c r="V28" s="381"/>
    </row>
    <row r="29" spans="1:22" ht="15.75" hidden="1" x14ac:dyDescent="0.25">
      <c r="A29" s="375"/>
      <c r="B29" s="441"/>
      <c r="C29" s="64"/>
      <c r="D29" s="379"/>
      <c r="E29" s="384"/>
      <c r="F29" s="68">
        <f>F9</f>
        <v>0</v>
      </c>
      <c r="G29" s="364">
        <v>1</v>
      </c>
      <c r="H29" s="67" t="str">
        <f>H28</f>
        <v>у.ед.</v>
      </c>
      <c r="I29" s="364">
        <v>1</v>
      </c>
      <c r="J29" s="67"/>
      <c r="K29" s="129">
        <f>K28*1.0457</f>
        <v>107845.1324</v>
      </c>
      <c r="L29" s="67" t="s">
        <v>41</v>
      </c>
      <c r="M29" s="70">
        <f t="shared" ref="M29:M30" si="5">ROUNDUP((K29),-1)</f>
        <v>107850</v>
      </c>
      <c r="N29" s="71" t="s">
        <v>37</v>
      </c>
      <c r="O29" s="70">
        <f t="shared" ref="O29:O30" si="6">ROUNDUP((M29),-2)</f>
        <v>107900</v>
      </c>
      <c r="P29" s="71" t="s">
        <v>37</v>
      </c>
      <c r="Q29" s="359"/>
      <c r="R29" s="359"/>
      <c r="S29" s="359"/>
      <c r="T29" s="381"/>
      <c r="U29" s="381"/>
      <c r="V29" s="381"/>
    </row>
    <row r="30" spans="1:22" ht="15.75" hidden="1" x14ac:dyDescent="0.25">
      <c r="A30" s="375"/>
      <c r="B30" s="441"/>
      <c r="C30" s="64"/>
      <c r="D30" s="379"/>
      <c r="E30" s="384"/>
      <c r="F30" s="68">
        <f>F10</f>
        <v>0</v>
      </c>
      <c r="G30" s="364">
        <v>1</v>
      </c>
      <c r="H30" s="67" t="str">
        <f>H28</f>
        <v>у.ед.</v>
      </c>
      <c r="I30" s="364">
        <v>1</v>
      </c>
      <c r="J30" s="67"/>
      <c r="K30" s="129">
        <f>K29*1.0457</f>
        <v>112773.65495068001</v>
      </c>
      <c r="L30" s="67" t="s">
        <v>41</v>
      </c>
      <c r="M30" s="70">
        <f t="shared" si="5"/>
        <v>112780</v>
      </c>
      <c r="N30" s="71" t="s">
        <v>37</v>
      </c>
      <c r="O30" s="70">
        <f t="shared" si="6"/>
        <v>112800</v>
      </c>
      <c r="P30" s="71" t="s">
        <v>37</v>
      </c>
      <c r="Q30" s="70"/>
      <c r="R30" s="71"/>
      <c r="S30" s="71"/>
      <c r="T30" s="381"/>
      <c r="U30" s="381"/>
      <c r="V30" s="381"/>
    </row>
    <row r="31" spans="1:22" ht="28.5" customHeight="1" x14ac:dyDescent="0.25">
      <c r="A31" s="283" t="s">
        <v>12</v>
      </c>
      <c r="B31" s="358" t="s">
        <v>427</v>
      </c>
      <c r="C31" s="52"/>
      <c r="D31" s="248" t="s">
        <v>35</v>
      </c>
      <c r="E31" s="248" t="s">
        <v>35</v>
      </c>
      <c r="F31" s="423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251">
        <f>T32+T37+T42+T47+T52+T57+T62+T67+T72</f>
        <v>621600</v>
      </c>
      <c r="U31" s="251">
        <f>U32+U37+U42+U47+U52+U57+U62+U67+U72</f>
        <v>649000</v>
      </c>
      <c r="V31" s="251">
        <f>V32+V37+V42+V47+V52+V57+V62+V67+V72</f>
        <v>676800</v>
      </c>
    </row>
    <row r="32" spans="1:22" ht="15" x14ac:dyDescent="0.25">
      <c r="A32" s="375" t="s">
        <v>13</v>
      </c>
      <c r="B32" s="440" t="s">
        <v>428</v>
      </c>
      <c r="C32" s="64"/>
      <c r="D32" s="378">
        <v>225</v>
      </c>
      <c r="E32" s="378">
        <v>244</v>
      </c>
      <c r="F32" s="380" t="s">
        <v>402</v>
      </c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65"/>
      <c r="T32" s="381">
        <f>O34</f>
        <v>96200</v>
      </c>
      <c r="U32" s="381">
        <f>O35</f>
        <v>100200</v>
      </c>
      <c r="V32" s="381">
        <f>O36</f>
        <v>104200</v>
      </c>
    </row>
    <row r="33" spans="1:22" ht="15" outlineLevel="1" x14ac:dyDescent="0.25">
      <c r="A33" s="375"/>
      <c r="B33" s="441"/>
      <c r="C33" s="64"/>
      <c r="D33" s="379"/>
      <c r="E33" s="384"/>
      <c r="F33" s="61">
        <v>2022</v>
      </c>
      <c r="G33" s="364">
        <v>1</v>
      </c>
      <c r="H33" s="67" t="s">
        <v>81</v>
      </c>
      <c r="I33" s="364">
        <v>1</v>
      </c>
      <c r="J33" s="67" t="s">
        <v>73</v>
      </c>
      <c r="K33" s="364"/>
      <c r="L33" s="67" t="s">
        <v>41</v>
      </c>
      <c r="M33" s="364">
        <f>ROUND((G33*I33*K33),0)</f>
        <v>0</v>
      </c>
      <c r="N33" s="67" t="s">
        <v>37</v>
      </c>
      <c r="O33" s="67"/>
      <c r="P33" s="67"/>
      <c r="Q33" s="67"/>
      <c r="R33" s="65"/>
      <c r="S33" s="65"/>
      <c r="T33" s="381"/>
      <c r="U33" s="381"/>
      <c r="V33" s="381"/>
    </row>
    <row r="34" spans="1:22" ht="1.5" customHeight="1" x14ac:dyDescent="0.25">
      <c r="A34" s="375"/>
      <c r="B34" s="441"/>
      <c r="C34" s="64"/>
      <c r="D34" s="379"/>
      <c r="E34" s="384"/>
      <c r="F34" s="68" t="str">
        <f>F14</f>
        <v>норматив на 2024 год :</v>
      </c>
      <c r="G34" s="364">
        <v>1</v>
      </c>
      <c r="H34" s="65" t="s">
        <v>254</v>
      </c>
      <c r="I34" s="364">
        <v>1</v>
      </c>
      <c r="J34" s="67" t="str">
        <f>J33</f>
        <v>раз х средняя цена</v>
      </c>
      <c r="K34" s="129">
        <f>(15733.33+80450)*1</f>
        <v>96183.33</v>
      </c>
      <c r="L34" s="67" t="s">
        <v>41</v>
      </c>
      <c r="M34" s="364">
        <f>ROUND((G34*I34*K34),0)</f>
        <v>96183</v>
      </c>
      <c r="N34" s="71" t="s">
        <v>37</v>
      </c>
      <c r="O34" s="70">
        <f>ROUNDUP((M34),-2)</f>
        <v>96200</v>
      </c>
      <c r="P34" s="71" t="s">
        <v>37</v>
      </c>
      <c r="Q34" s="359"/>
      <c r="R34" s="359"/>
      <c r="S34" s="65"/>
      <c r="T34" s="381"/>
      <c r="U34" s="381"/>
      <c r="V34" s="381"/>
    </row>
    <row r="35" spans="1:22" ht="15.75" hidden="1" x14ac:dyDescent="0.25">
      <c r="A35" s="375"/>
      <c r="B35" s="441"/>
      <c r="C35" s="64"/>
      <c r="D35" s="379"/>
      <c r="E35" s="384"/>
      <c r="F35" s="68" t="str">
        <f>F15</f>
        <v>норматив на 2025 год :</v>
      </c>
      <c r="G35" s="364">
        <v>1</v>
      </c>
      <c r="H35" s="67" t="str">
        <f>H34</f>
        <v xml:space="preserve">авт.  </v>
      </c>
      <c r="I35" s="364">
        <v>1</v>
      </c>
      <c r="J35" s="67" t="str">
        <f>J33</f>
        <v>раз х средняя цена</v>
      </c>
      <c r="K35" s="129">
        <f>K34*1.0416</f>
        <v>100184.55652800002</v>
      </c>
      <c r="L35" s="67" t="s">
        <v>41</v>
      </c>
      <c r="M35" s="364">
        <f>ROUND((G35*I35*K35),0)</f>
        <v>100185</v>
      </c>
      <c r="N35" s="71" t="s">
        <v>37</v>
      </c>
      <c r="O35" s="70">
        <f t="shared" ref="O35:O36" si="7">ROUNDUP((M35),-2)</f>
        <v>100200</v>
      </c>
      <c r="P35" s="71" t="s">
        <v>37</v>
      </c>
      <c r="Q35" s="359"/>
      <c r="R35" s="359"/>
      <c r="S35" s="359"/>
      <c r="T35" s="381"/>
      <c r="U35" s="381"/>
      <c r="V35" s="381"/>
    </row>
    <row r="36" spans="1:22" ht="15.75" hidden="1" x14ac:dyDescent="0.25">
      <c r="A36" s="375"/>
      <c r="B36" s="441"/>
      <c r="C36" s="64"/>
      <c r="D36" s="379"/>
      <c r="E36" s="384"/>
      <c r="F36" s="68" t="str">
        <f>F16</f>
        <v>норматив на 2026 год :</v>
      </c>
      <c r="G36" s="364">
        <v>1</v>
      </c>
      <c r="H36" s="67" t="str">
        <f>H34</f>
        <v xml:space="preserve">авт.  </v>
      </c>
      <c r="I36" s="364">
        <v>1</v>
      </c>
      <c r="J36" s="67" t="str">
        <f>J33</f>
        <v>раз х средняя цена</v>
      </c>
      <c r="K36" s="129">
        <f>K35*1.0399</f>
        <v>104181.92033346722</v>
      </c>
      <c r="L36" s="67" t="s">
        <v>41</v>
      </c>
      <c r="M36" s="364">
        <f>ROUND((G36*I36*K36),0)</f>
        <v>104182</v>
      </c>
      <c r="N36" s="71" t="s">
        <v>37</v>
      </c>
      <c r="O36" s="70">
        <f t="shared" si="7"/>
        <v>104200</v>
      </c>
      <c r="P36" s="71" t="s">
        <v>37</v>
      </c>
      <c r="Q36" s="70"/>
      <c r="R36" s="71"/>
      <c r="S36" s="71"/>
      <c r="T36" s="381"/>
      <c r="U36" s="381"/>
      <c r="V36" s="381"/>
    </row>
    <row r="37" spans="1:22" ht="15" x14ac:dyDescent="0.25">
      <c r="A37" s="375" t="s">
        <v>30</v>
      </c>
      <c r="B37" s="376" t="s">
        <v>462</v>
      </c>
      <c r="C37" s="64"/>
      <c r="D37" s="378">
        <v>225</v>
      </c>
      <c r="E37" s="378">
        <v>244</v>
      </c>
      <c r="F37" s="380" t="s">
        <v>245</v>
      </c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65"/>
      <c r="T37" s="381">
        <f>O39</f>
        <v>1400</v>
      </c>
      <c r="U37" s="381">
        <f>O40</f>
        <v>1500</v>
      </c>
      <c r="V37" s="381">
        <f>O41</f>
        <v>1600</v>
      </c>
    </row>
    <row r="38" spans="1:22" ht="12.75" customHeight="1" x14ac:dyDescent="0.25">
      <c r="A38" s="375"/>
      <c r="B38" s="377"/>
      <c r="C38" s="64"/>
      <c r="D38" s="379"/>
      <c r="E38" s="379"/>
      <c r="F38" s="61">
        <v>2022</v>
      </c>
      <c r="G38" s="364">
        <v>1</v>
      </c>
      <c r="H38" s="67" t="s">
        <v>81</v>
      </c>
      <c r="I38" s="364">
        <v>1</v>
      </c>
      <c r="J38" s="67" t="s">
        <v>255</v>
      </c>
      <c r="K38" s="364">
        <v>1215.02</v>
      </c>
      <c r="L38" s="67" t="s">
        <v>41</v>
      </c>
      <c r="M38" s="364">
        <f>ROUND((G38*I38*K38),2)</f>
        <v>1215.02</v>
      </c>
      <c r="N38" s="67" t="s">
        <v>37</v>
      </c>
      <c r="O38" s="70">
        <f>ROUNDUP((M38),-2)</f>
        <v>1300</v>
      </c>
      <c r="P38" s="67"/>
      <c r="Q38" s="67"/>
      <c r="R38" s="65"/>
      <c r="S38" s="65"/>
      <c r="T38" s="381"/>
      <c r="U38" s="381"/>
      <c r="V38" s="381"/>
    </row>
    <row r="39" spans="1:22" ht="15.75" hidden="1" x14ac:dyDescent="0.25">
      <c r="A39" s="375"/>
      <c r="B39" s="377"/>
      <c r="C39" s="64"/>
      <c r="D39" s="379"/>
      <c r="E39" s="379"/>
      <c r="F39" s="68" t="str">
        <f>F14</f>
        <v>норматив на 2024 год :</v>
      </c>
      <c r="G39" s="364">
        <v>1</v>
      </c>
      <c r="H39" s="67" t="s">
        <v>81</v>
      </c>
      <c r="I39" s="69">
        <v>1</v>
      </c>
      <c r="J39" s="67" t="str">
        <f>J38</f>
        <v xml:space="preserve">раз х средняя цена </v>
      </c>
      <c r="K39" s="129">
        <f>K38*1.0822*1.0487</f>
        <v>1378.9300131627999</v>
      </c>
      <c r="L39" s="67" t="s">
        <v>41</v>
      </c>
      <c r="M39" s="364">
        <f>ROUND((G39*I39*K39),0)</f>
        <v>1379</v>
      </c>
      <c r="N39" s="71" t="s">
        <v>37</v>
      </c>
      <c r="O39" s="70">
        <f>ROUNDUP((M39),-2)</f>
        <v>1400</v>
      </c>
      <c r="P39" s="71" t="s">
        <v>37</v>
      </c>
      <c r="Q39" s="359"/>
      <c r="R39" s="359"/>
      <c r="S39" s="65"/>
      <c r="T39" s="381"/>
      <c r="U39" s="381"/>
      <c r="V39" s="381"/>
    </row>
    <row r="40" spans="1:22" ht="15.75" hidden="1" x14ac:dyDescent="0.25">
      <c r="A40" s="375"/>
      <c r="B40" s="377"/>
      <c r="C40" s="64"/>
      <c r="D40" s="379"/>
      <c r="E40" s="379"/>
      <c r="F40" s="68" t="str">
        <f>F15</f>
        <v>норматив на 2025 год :</v>
      </c>
      <c r="G40" s="364">
        <v>1</v>
      </c>
      <c r="H40" s="67" t="s">
        <v>81</v>
      </c>
      <c r="I40" s="69">
        <v>1</v>
      </c>
      <c r="J40" s="67" t="str">
        <f>J38</f>
        <v xml:space="preserve">раз х средняя цена </v>
      </c>
      <c r="K40" s="129">
        <f>K39*1.0457</f>
        <v>1441.9471147643401</v>
      </c>
      <c r="L40" s="67" t="s">
        <v>41</v>
      </c>
      <c r="M40" s="364">
        <f>ROUND((G40*I40*K40),0)</f>
        <v>1442</v>
      </c>
      <c r="N40" s="67" t="s">
        <v>41</v>
      </c>
      <c r="O40" s="70">
        <f>ROUNDUP((M40),-2)</f>
        <v>1500</v>
      </c>
      <c r="P40" s="71" t="s">
        <v>37</v>
      </c>
      <c r="Q40" s="359"/>
      <c r="R40" s="359"/>
      <c r="S40" s="65"/>
      <c r="T40" s="381"/>
      <c r="U40" s="381"/>
      <c r="V40" s="381"/>
    </row>
    <row r="41" spans="1:22" ht="15.75" hidden="1" x14ac:dyDescent="0.25">
      <c r="A41" s="375"/>
      <c r="B41" s="377"/>
      <c r="C41" s="64"/>
      <c r="D41" s="379"/>
      <c r="E41" s="379"/>
      <c r="F41" s="68" t="str">
        <f>F16</f>
        <v>норматив на 2026 год :</v>
      </c>
      <c r="G41" s="364">
        <v>1</v>
      </c>
      <c r="H41" s="67" t="s">
        <v>81</v>
      </c>
      <c r="I41" s="69">
        <v>1</v>
      </c>
      <c r="J41" s="67" t="str">
        <f>J38</f>
        <v xml:space="preserve">раз х средняя цена </v>
      </c>
      <c r="K41" s="129">
        <f>K40*1.0457</f>
        <v>1507.8440979090706</v>
      </c>
      <c r="L41" s="67" t="s">
        <v>41</v>
      </c>
      <c r="M41" s="364">
        <f>ROUND((G41*I41*K41),0)</f>
        <v>1508</v>
      </c>
      <c r="N41" s="67" t="s">
        <v>25</v>
      </c>
      <c r="O41" s="70">
        <f>ROUNDUP((M41),-2)</f>
        <v>1600</v>
      </c>
      <c r="P41" s="71" t="s">
        <v>37</v>
      </c>
      <c r="Q41" s="70"/>
      <c r="R41" s="71"/>
      <c r="S41" s="65"/>
      <c r="T41" s="382"/>
      <c r="U41" s="382"/>
      <c r="V41" s="382"/>
    </row>
    <row r="42" spans="1:22" s="75" customFormat="1" ht="15" x14ac:dyDescent="0.25">
      <c r="A42" s="383" t="s">
        <v>31</v>
      </c>
      <c r="B42" s="376" t="s">
        <v>429</v>
      </c>
      <c r="C42" s="56"/>
      <c r="D42" s="378">
        <v>225</v>
      </c>
      <c r="E42" s="378">
        <v>244</v>
      </c>
      <c r="F42" s="380" t="s">
        <v>244</v>
      </c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364"/>
      <c r="T42" s="381">
        <f>O44</f>
        <v>191400</v>
      </c>
      <c r="U42" s="381">
        <f>O45</f>
        <v>199400</v>
      </c>
      <c r="V42" s="381">
        <f>O46</f>
        <v>207300</v>
      </c>
    </row>
    <row r="43" spans="1:22" ht="15" outlineLevel="1" x14ac:dyDescent="0.25">
      <c r="A43" s="383"/>
      <c r="B43" s="377"/>
      <c r="C43" s="64"/>
      <c r="D43" s="379"/>
      <c r="E43" s="384"/>
      <c r="F43" s="76"/>
      <c r="G43" s="364"/>
      <c r="H43" s="67" t="s">
        <v>259</v>
      </c>
      <c r="I43" s="364">
        <v>1</v>
      </c>
      <c r="J43" s="67" t="s">
        <v>67</v>
      </c>
      <c r="K43" s="364"/>
      <c r="L43" s="67" t="s">
        <v>41</v>
      </c>
      <c r="M43" s="364"/>
      <c r="N43" s="67" t="s">
        <v>37</v>
      </c>
      <c r="P43" s="77" t="s">
        <v>145</v>
      </c>
      <c r="Q43" s="78"/>
      <c r="R43" s="61"/>
      <c r="S43" s="65"/>
      <c r="T43" s="381"/>
      <c r="U43" s="381"/>
      <c r="V43" s="381"/>
    </row>
    <row r="44" spans="1:22" ht="15" hidden="1" x14ac:dyDescent="0.25">
      <c r="A44" s="383"/>
      <c r="B44" s="377"/>
      <c r="C44" s="64"/>
      <c r="D44" s="379"/>
      <c r="E44" s="384"/>
      <c r="F44" s="68" t="str">
        <f>F14</f>
        <v>норматив на 2024 год :</v>
      </c>
      <c r="G44" s="364">
        <v>1</v>
      </c>
      <c r="H44" s="67" t="s">
        <v>259</v>
      </c>
      <c r="I44" s="69">
        <v>1</v>
      </c>
      <c r="J44" s="67" t="s">
        <v>67</v>
      </c>
      <c r="K44" s="70">
        <f>(6243.6*26+20000)*1.0495</f>
        <v>191359.11320000002</v>
      </c>
      <c r="L44" s="67" t="s">
        <v>41</v>
      </c>
      <c r="M44" s="364">
        <f>ROUND((G44*I44*K44),0)</f>
        <v>191359</v>
      </c>
      <c r="N44" s="67" t="s">
        <v>37</v>
      </c>
      <c r="O44" s="70">
        <f>ROUNDUP((M44),-2)</f>
        <v>191400</v>
      </c>
      <c r="P44" s="71" t="s">
        <v>37</v>
      </c>
      <c r="Q44" s="359"/>
      <c r="R44" s="61"/>
      <c r="S44" s="359"/>
      <c r="T44" s="381"/>
      <c r="U44" s="381"/>
      <c r="V44" s="381"/>
    </row>
    <row r="45" spans="1:22" ht="15" hidden="1" x14ac:dyDescent="0.25">
      <c r="A45" s="383"/>
      <c r="B45" s="377"/>
      <c r="C45" s="64"/>
      <c r="D45" s="379"/>
      <c r="E45" s="384"/>
      <c r="F45" s="68" t="str">
        <f>F15</f>
        <v>норматив на 2025 год :</v>
      </c>
      <c r="G45" s="364">
        <v>1</v>
      </c>
      <c r="H45" s="67" t="s">
        <v>259</v>
      </c>
      <c r="I45" s="69">
        <v>1</v>
      </c>
      <c r="J45" s="67" t="s">
        <v>67</v>
      </c>
      <c r="K45" s="364">
        <f>K44*1.0416</f>
        <v>199319.65230912005</v>
      </c>
      <c r="L45" s="67" t="s">
        <v>41</v>
      </c>
      <c r="M45" s="364">
        <f>ROUND((G45*I45*K45),0)</f>
        <v>199320</v>
      </c>
      <c r="N45" s="67" t="s">
        <v>37</v>
      </c>
      <c r="O45" s="70">
        <f t="shared" ref="O45:O46" si="8">ROUNDUP((M45),-2)</f>
        <v>199400</v>
      </c>
      <c r="P45" s="71" t="s">
        <v>37</v>
      </c>
      <c r="Q45" s="359"/>
      <c r="R45" s="61"/>
      <c r="S45" s="359"/>
      <c r="T45" s="381"/>
      <c r="U45" s="381"/>
      <c r="V45" s="381"/>
    </row>
    <row r="46" spans="1:22" ht="15" hidden="1" x14ac:dyDescent="0.25">
      <c r="A46" s="383"/>
      <c r="B46" s="377"/>
      <c r="C46" s="64"/>
      <c r="D46" s="379"/>
      <c r="E46" s="384"/>
      <c r="F46" s="68" t="str">
        <f>F16</f>
        <v>норматив на 2026 год :</v>
      </c>
      <c r="G46" s="364">
        <v>1</v>
      </c>
      <c r="H46" s="67" t="s">
        <v>259</v>
      </c>
      <c r="I46" s="69">
        <v>1</v>
      </c>
      <c r="J46" s="67" t="s">
        <v>67</v>
      </c>
      <c r="K46" s="364">
        <f>K45*1.0399</f>
        <v>207272.50643625396</v>
      </c>
      <c r="L46" s="67" t="s">
        <v>41</v>
      </c>
      <c r="M46" s="364">
        <f>ROUND((G46*I46*K46),0)</f>
        <v>207273</v>
      </c>
      <c r="N46" s="67" t="s">
        <v>37</v>
      </c>
      <c r="O46" s="70">
        <f t="shared" si="8"/>
        <v>207300</v>
      </c>
      <c r="P46" s="71" t="s">
        <v>37</v>
      </c>
      <c r="Q46" s="70"/>
      <c r="R46" s="61"/>
      <c r="S46" s="71"/>
      <c r="T46" s="382"/>
      <c r="U46" s="382"/>
      <c r="V46" s="382"/>
    </row>
    <row r="47" spans="1:22" ht="15" x14ac:dyDescent="0.25">
      <c r="A47" s="383" t="s">
        <v>131</v>
      </c>
      <c r="B47" s="376" t="s">
        <v>463</v>
      </c>
      <c r="C47" s="64"/>
      <c r="D47" s="378">
        <v>225</v>
      </c>
      <c r="E47" s="378">
        <v>244</v>
      </c>
      <c r="F47" s="380" t="s">
        <v>246</v>
      </c>
      <c r="G47" s="380"/>
      <c r="H47" s="380"/>
      <c r="I47" s="380"/>
      <c r="J47" s="380"/>
      <c r="K47" s="380"/>
      <c r="L47" s="380"/>
      <c r="M47" s="380"/>
      <c r="N47" s="380"/>
      <c r="O47" s="380"/>
      <c r="P47" s="380"/>
      <c r="Q47" s="380"/>
      <c r="R47" s="380"/>
      <c r="S47" s="65"/>
      <c r="T47" s="381">
        <f>O49</f>
        <v>48300</v>
      </c>
      <c r="U47" s="381">
        <f>O50</f>
        <v>50500</v>
      </c>
      <c r="V47" s="381">
        <f>O51</f>
        <v>52800</v>
      </c>
    </row>
    <row r="48" spans="1:22" ht="12.75" customHeight="1" outlineLevel="1" x14ac:dyDescent="0.25">
      <c r="A48" s="383"/>
      <c r="B48" s="377"/>
      <c r="C48" s="64"/>
      <c r="D48" s="379"/>
      <c r="E48" s="384"/>
      <c r="F48" s="61"/>
      <c r="G48" s="364">
        <v>8760</v>
      </c>
      <c r="H48" s="65" t="s">
        <v>375</v>
      </c>
      <c r="I48" s="364"/>
      <c r="J48" s="67" t="s">
        <v>250</v>
      </c>
      <c r="K48" s="364"/>
      <c r="L48" s="67" t="s">
        <v>41</v>
      </c>
      <c r="M48" s="364">
        <f>ROUND((G48*I48*K48),2)</f>
        <v>0</v>
      </c>
      <c r="N48" s="67" t="s">
        <v>37</v>
      </c>
      <c r="O48" s="67"/>
      <c r="P48" s="67"/>
      <c r="Q48" s="67"/>
      <c r="R48" s="65"/>
      <c r="S48" s="65"/>
      <c r="T48" s="381"/>
      <c r="U48" s="381"/>
      <c r="V48" s="381"/>
    </row>
    <row r="49" spans="1:22" ht="15" hidden="1" x14ac:dyDescent="0.25">
      <c r="A49" s="383"/>
      <c r="B49" s="377"/>
      <c r="C49" s="64"/>
      <c r="D49" s="379"/>
      <c r="E49" s="384"/>
      <c r="F49" s="68" t="str">
        <f>F14</f>
        <v>норматив на 2024 год :</v>
      </c>
      <c r="G49" s="364">
        <v>8760</v>
      </c>
      <c r="H49" s="65" t="s">
        <v>375</v>
      </c>
      <c r="I49" s="364">
        <f>5.25*1.0487</f>
        <v>5.5056750000000001</v>
      </c>
      <c r="J49" s="67" t="str">
        <f>J48</f>
        <v>руб. цена одного часа</v>
      </c>
      <c r="K49" s="364">
        <f t="shared" ref="K49:K51" si="9">I49*G49</f>
        <v>48229.713000000003</v>
      </c>
      <c r="L49" s="67" t="s">
        <v>41</v>
      </c>
      <c r="M49" s="364">
        <f t="shared" ref="M49:M51" si="10">ROUND((K49),0)</f>
        <v>48230</v>
      </c>
      <c r="N49" s="71" t="s">
        <v>37</v>
      </c>
      <c r="O49" s="70">
        <f>ROUNDUP((M49),-2)</f>
        <v>48300</v>
      </c>
      <c r="P49" s="71" t="s">
        <v>37</v>
      </c>
      <c r="Q49" s="359"/>
      <c r="R49" s="359"/>
      <c r="S49" s="65"/>
      <c r="T49" s="381"/>
      <c r="U49" s="381"/>
      <c r="V49" s="381"/>
    </row>
    <row r="50" spans="1:22" ht="15.75" hidden="1" x14ac:dyDescent="0.25">
      <c r="A50" s="383"/>
      <c r="B50" s="377"/>
      <c r="C50" s="64"/>
      <c r="D50" s="379"/>
      <c r="E50" s="384"/>
      <c r="F50" s="68" t="str">
        <f>F15</f>
        <v>норматив на 2025 год :</v>
      </c>
      <c r="G50" s="364">
        <v>8760</v>
      </c>
      <c r="H50" s="65" t="s">
        <v>375</v>
      </c>
      <c r="I50" s="129">
        <f>I49*1.0457</f>
        <v>5.7572843475000006</v>
      </c>
      <c r="J50" s="67" t="str">
        <f t="shared" ref="J50:J51" si="11">J49</f>
        <v>руб. цена одного часа</v>
      </c>
      <c r="K50" s="364">
        <f t="shared" si="9"/>
        <v>50433.810884100007</v>
      </c>
      <c r="L50" s="67" t="s">
        <v>41</v>
      </c>
      <c r="M50" s="364">
        <f t="shared" si="10"/>
        <v>50434</v>
      </c>
      <c r="N50" s="71" t="s">
        <v>37</v>
      </c>
      <c r="O50" s="70">
        <f t="shared" ref="O50:O51" si="12">ROUNDUP((M50),-2)</f>
        <v>50500</v>
      </c>
      <c r="P50" s="71" t="s">
        <v>37</v>
      </c>
      <c r="Q50" s="359"/>
      <c r="R50" s="359"/>
      <c r="S50" s="65"/>
      <c r="T50" s="381"/>
      <c r="U50" s="381"/>
      <c r="V50" s="381"/>
    </row>
    <row r="51" spans="1:22" ht="15.75" hidden="1" x14ac:dyDescent="0.25">
      <c r="A51" s="383"/>
      <c r="B51" s="377"/>
      <c r="C51" s="64"/>
      <c r="D51" s="379"/>
      <c r="E51" s="384"/>
      <c r="F51" s="68" t="str">
        <f>F16</f>
        <v>норматив на 2026 год :</v>
      </c>
      <c r="G51" s="364">
        <v>8760</v>
      </c>
      <c r="H51" s="65" t="s">
        <v>375</v>
      </c>
      <c r="I51" s="129">
        <f>I50*1.0457</f>
        <v>6.0203922421807512</v>
      </c>
      <c r="J51" s="67" t="str">
        <f t="shared" si="11"/>
        <v>руб. цена одного часа</v>
      </c>
      <c r="K51" s="364">
        <f t="shared" si="9"/>
        <v>52738.636041503378</v>
      </c>
      <c r="L51" s="67" t="s">
        <v>41</v>
      </c>
      <c r="M51" s="364">
        <f t="shared" si="10"/>
        <v>52739</v>
      </c>
      <c r="N51" s="71" t="s">
        <v>37</v>
      </c>
      <c r="O51" s="70">
        <f t="shared" si="12"/>
        <v>52800</v>
      </c>
      <c r="P51" s="71" t="s">
        <v>37</v>
      </c>
      <c r="Q51" s="70"/>
      <c r="R51" s="71"/>
      <c r="S51" s="65"/>
      <c r="T51" s="382"/>
      <c r="U51" s="382"/>
      <c r="V51" s="382"/>
    </row>
    <row r="52" spans="1:22" ht="15" x14ac:dyDescent="0.25">
      <c r="A52" s="383" t="s">
        <v>349</v>
      </c>
      <c r="B52" s="376" t="s">
        <v>430</v>
      </c>
      <c r="C52" s="64"/>
      <c r="D52" s="378">
        <v>225</v>
      </c>
      <c r="E52" s="378">
        <v>244</v>
      </c>
      <c r="F52" s="380" t="s">
        <v>245</v>
      </c>
      <c r="G52" s="380"/>
      <c r="H52" s="380"/>
      <c r="I52" s="380"/>
      <c r="J52" s="380"/>
      <c r="K52" s="380"/>
      <c r="L52" s="380"/>
      <c r="M52" s="380"/>
      <c r="N52" s="380"/>
      <c r="O52" s="380"/>
      <c r="P52" s="380"/>
      <c r="Q52" s="380"/>
      <c r="R52" s="380"/>
      <c r="S52" s="65"/>
      <c r="T52" s="381">
        <f>O54</f>
        <v>6800</v>
      </c>
      <c r="U52" s="381">
        <f>O55</f>
        <v>7100</v>
      </c>
      <c r="V52" s="381">
        <f>O56</f>
        <v>7400</v>
      </c>
    </row>
    <row r="53" spans="1:22" ht="15" outlineLevel="1" x14ac:dyDescent="0.25">
      <c r="A53" s="383"/>
      <c r="B53" s="377"/>
      <c r="C53" s="64"/>
      <c r="D53" s="379"/>
      <c r="E53" s="384"/>
      <c r="F53" s="61">
        <v>2022</v>
      </c>
      <c r="G53" s="364">
        <v>1</v>
      </c>
      <c r="H53" s="67" t="s">
        <v>77</v>
      </c>
      <c r="I53" s="139">
        <v>4</v>
      </c>
      <c r="J53" s="67" t="s">
        <v>67</v>
      </c>
      <c r="K53" s="364">
        <v>1479.08</v>
      </c>
      <c r="L53" s="67" t="s">
        <v>41</v>
      </c>
      <c r="M53" s="364">
        <f>ROUND((G53*I53*K53),0)</f>
        <v>5916</v>
      </c>
      <c r="N53" s="67" t="s">
        <v>37</v>
      </c>
      <c r="O53" s="70">
        <f>ROUNDUP((M53),-2)</f>
        <v>6000</v>
      </c>
      <c r="P53" s="71" t="s">
        <v>37</v>
      </c>
      <c r="Q53" s="67"/>
      <c r="R53" s="65"/>
      <c r="S53" s="65"/>
      <c r="T53" s="381"/>
      <c r="U53" s="381"/>
      <c r="V53" s="381"/>
    </row>
    <row r="54" spans="1:22" ht="15.75" hidden="1" x14ac:dyDescent="0.25">
      <c r="A54" s="383"/>
      <c r="B54" s="377"/>
      <c r="C54" s="64"/>
      <c r="D54" s="379"/>
      <c r="E54" s="384"/>
      <c r="F54" s="68" t="str">
        <f>F14</f>
        <v>норматив на 2024 год :</v>
      </c>
      <c r="G54" s="364">
        <v>1</v>
      </c>
      <c r="H54" s="67" t="s">
        <v>77</v>
      </c>
      <c r="I54" s="139">
        <v>4</v>
      </c>
      <c r="J54" s="67" t="s">
        <v>67</v>
      </c>
      <c r="K54" s="129">
        <f>K53*1.0822*1.0487</f>
        <v>1678.6125363112001</v>
      </c>
      <c r="L54" s="67" t="s">
        <v>41</v>
      </c>
      <c r="M54" s="364">
        <f t="shared" ref="M54:M56" si="13">ROUND((G54*I54*K54),0)</f>
        <v>6714</v>
      </c>
      <c r="N54" s="71" t="s">
        <v>37</v>
      </c>
      <c r="O54" s="70">
        <f t="shared" ref="O54:O56" si="14">ROUNDUP((M54),-2)</f>
        <v>6800</v>
      </c>
      <c r="P54" s="71" t="s">
        <v>37</v>
      </c>
      <c r="Q54" s="70"/>
      <c r="R54" s="71"/>
      <c r="S54" s="65"/>
      <c r="T54" s="381"/>
      <c r="U54" s="381"/>
      <c r="V54" s="381"/>
    </row>
    <row r="55" spans="1:22" ht="15.75" hidden="1" x14ac:dyDescent="0.25">
      <c r="A55" s="383"/>
      <c r="B55" s="377"/>
      <c r="C55" s="64"/>
      <c r="D55" s="379"/>
      <c r="E55" s="384"/>
      <c r="F55" s="68" t="str">
        <f>F15</f>
        <v>норматив на 2025 год :</v>
      </c>
      <c r="G55" s="364">
        <v>1</v>
      </c>
      <c r="H55" s="67" t="s">
        <v>77</v>
      </c>
      <c r="I55" s="139">
        <v>4</v>
      </c>
      <c r="J55" s="67" t="s">
        <v>67</v>
      </c>
      <c r="K55" s="129">
        <f>K54*1.0457</f>
        <v>1755.3251292206221</v>
      </c>
      <c r="L55" s="67" t="s">
        <v>41</v>
      </c>
      <c r="M55" s="364">
        <f t="shared" si="13"/>
        <v>7021</v>
      </c>
      <c r="N55" s="71" t="s">
        <v>37</v>
      </c>
      <c r="O55" s="70">
        <f t="shared" si="14"/>
        <v>7100</v>
      </c>
      <c r="P55" s="71" t="s">
        <v>37</v>
      </c>
      <c r="Q55" s="70"/>
      <c r="R55" s="71"/>
      <c r="S55" s="65"/>
      <c r="T55" s="381"/>
      <c r="U55" s="381"/>
      <c r="V55" s="381"/>
    </row>
    <row r="56" spans="1:22" ht="15.75" hidden="1" x14ac:dyDescent="0.25">
      <c r="A56" s="383"/>
      <c r="B56" s="377"/>
      <c r="C56" s="64"/>
      <c r="D56" s="379"/>
      <c r="E56" s="384"/>
      <c r="F56" s="68" t="str">
        <f>F16</f>
        <v>норматив на 2026 год :</v>
      </c>
      <c r="G56" s="364">
        <v>1</v>
      </c>
      <c r="H56" s="67" t="s">
        <v>77</v>
      </c>
      <c r="I56" s="139">
        <v>4</v>
      </c>
      <c r="J56" s="67" t="s">
        <v>67</v>
      </c>
      <c r="K56" s="129">
        <f>K55*1.0457</f>
        <v>1835.5434876260047</v>
      </c>
      <c r="L56" s="67" t="s">
        <v>41</v>
      </c>
      <c r="M56" s="364">
        <f t="shared" si="13"/>
        <v>7342</v>
      </c>
      <c r="N56" s="71" t="s">
        <v>37</v>
      </c>
      <c r="O56" s="70">
        <f t="shared" si="14"/>
        <v>7400</v>
      </c>
      <c r="P56" s="71" t="s">
        <v>37</v>
      </c>
      <c r="Q56" s="70"/>
      <c r="R56" s="71"/>
      <c r="S56" s="65"/>
      <c r="T56" s="382"/>
      <c r="U56" s="382"/>
      <c r="V56" s="382"/>
    </row>
    <row r="57" spans="1:22" s="75" customFormat="1" ht="15" x14ac:dyDescent="0.25">
      <c r="A57" s="383" t="s">
        <v>403</v>
      </c>
      <c r="B57" s="376" t="s">
        <v>431</v>
      </c>
      <c r="C57" s="56"/>
      <c r="D57" s="378">
        <v>225</v>
      </c>
      <c r="E57" s="378">
        <v>244</v>
      </c>
      <c r="F57" s="380" t="s">
        <v>245</v>
      </c>
      <c r="G57" s="380"/>
      <c r="H57" s="380"/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364"/>
      <c r="T57" s="381">
        <f>O59</f>
        <v>71400</v>
      </c>
      <c r="U57" s="381">
        <f>O60</f>
        <v>74700</v>
      </c>
      <c r="V57" s="381">
        <f>O61</f>
        <v>78100</v>
      </c>
    </row>
    <row r="58" spans="1:22" ht="15" outlineLevel="1" x14ac:dyDescent="0.25">
      <c r="A58" s="383"/>
      <c r="B58" s="377"/>
      <c r="C58" s="64"/>
      <c r="D58" s="379"/>
      <c r="E58" s="384"/>
      <c r="F58" s="61">
        <v>2022</v>
      </c>
      <c r="G58" s="364">
        <v>1</v>
      </c>
      <c r="H58" s="67" t="s">
        <v>259</v>
      </c>
      <c r="I58" s="139">
        <v>1</v>
      </c>
      <c r="J58" s="67" t="s">
        <v>73</v>
      </c>
      <c r="K58" s="364">
        <v>62868</v>
      </c>
      <c r="L58" s="67" t="s">
        <v>41</v>
      </c>
      <c r="M58" s="364">
        <f>ROUND((G58*I58*K58),0)</f>
        <v>62868</v>
      </c>
      <c r="N58" s="67" t="s">
        <v>37</v>
      </c>
      <c r="O58" s="70">
        <f>ROUNDUP((M58),-2)</f>
        <v>62900</v>
      </c>
      <c r="P58" s="71" t="s">
        <v>37</v>
      </c>
      <c r="Q58" s="78"/>
      <c r="R58" s="61"/>
      <c r="S58" s="65"/>
      <c r="T58" s="381"/>
      <c r="U58" s="381"/>
      <c r="V58" s="381"/>
    </row>
    <row r="59" spans="1:22" ht="15.75" hidden="1" x14ac:dyDescent="0.25">
      <c r="A59" s="383"/>
      <c r="B59" s="377"/>
      <c r="C59" s="64"/>
      <c r="D59" s="379"/>
      <c r="E59" s="384"/>
      <c r="F59" s="68" t="str">
        <f>F14</f>
        <v>норматив на 2024 год :</v>
      </c>
      <c r="G59" s="364">
        <v>1</v>
      </c>
      <c r="H59" s="67" t="s">
        <v>259</v>
      </c>
      <c r="I59" s="139">
        <v>1</v>
      </c>
      <c r="J59" s="67" t="s">
        <v>73</v>
      </c>
      <c r="K59" s="129">
        <f>K58*1.0822*1.0487</f>
        <v>71349.090605520003</v>
      </c>
      <c r="L59" s="67" t="s">
        <v>41</v>
      </c>
      <c r="M59" s="364">
        <f t="shared" ref="M59:M61" si="15">ROUND((G59*I59*K59),0)</f>
        <v>71349</v>
      </c>
      <c r="N59" s="67" t="s">
        <v>37</v>
      </c>
      <c r="O59" s="70">
        <f t="shared" ref="O59:O61" si="16">ROUNDUP((M59),-2)</f>
        <v>71400</v>
      </c>
      <c r="P59" s="71" t="s">
        <v>37</v>
      </c>
      <c r="Q59" s="359"/>
      <c r="R59" s="61"/>
      <c r="S59" s="359"/>
      <c r="T59" s="381"/>
      <c r="U59" s="381"/>
      <c r="V59" s="381"/>
    </row>
    <row r="60" spans="1:22" ht="15.75" hidden="1" x14ac:dyDescent="0.25">
      <c r="A60" s="383"/>
      <c r="B60" s="377"/>
      <c r="C60" s="64"/>
      <c r="D60" s="379"/>
      <c r="E60" s="384"/>
      <c r="F60" s="68" t="str">
        <f>F15</f>
        <v>норматив на 2025 год :</v>
      </c>
      <c r="G60" s="364">
        <v>1</v>
      </c>
      <c r="H60" s="67" t="s">
        <v>259</v>
      </c>
      <c r="I60" s="139">
        <v>1</v>
      </c>
      <c r="J60" s="67" t="s">
        <v>73</v>
      </c>
      <c r="K60" s="129">
        <f>K59*1.0457</f>
        <v>74609.744046192267</v>
      </c>
      <c r="L60" s="67" t="s">
        <v>41</v>
      </c>
      <c r="M60" s="364">
        <f t="shared" si="15"/>
        <v>74610</v>
      </c>
      <c r="N60" s="67" t="s">
        <v>37</v>
      </c>
      <c r="O60" s="70">
        <f t="shared" si="16"/>
        <v>74700</v>
      </c>
      <c r="P60" s="71" t="s">
        <v>37</v>
      </c>
      <c r="Q60" s="359"/>
      <c r="R60" s="61"/>
      <c r="S60" s="359"/>
      <c r="T60" s="381"/>
      <c r="U60" s="381"/>
      <c r="V60" s="381"/>
    </row>
    <row r="61" spans="1:22" ht="15.75" hidden="1" x14ac:dyDescent="0.25">
      <c r="A61" s="383"/>
      <c r="B61" s="377"/>
      <c r="C61" s="64"/>
      <c r="D61" s="379"/>
      <c r="E61" s="384"/>
      <c r="F61" s="68" t="str">
        <f>F16</f>
        <v>норматив на 2026 год :</v>
      </c>
      <c r="G61" s="364">
        <v>1</v>
      </c>
      <c r="H61" s="67" t="s">
        <v>259</v>
      </c>
      <c r="I61" s="139">
        <v>1</v>
      </c>
      <c r="J61" s="67" t="s">
        <v>73</v>
      </c>
      <c r="K61" s="129">
        <f>K60*1.0457</f>
        <v>78019.409349103254</v>
      </c>
      <c r="L61" s="67" t="s">
        <v>41</v>
      </c>
      <c r="M61" s="364">
        <f t="shared" si="15"/>
        <v>78019</v>
      </c>
      <c r="N61" s="67" t="s">
        <v>37</v>
      </c>
      <c r="O61" s="70">
        <f t="shared" si="16"/>
        <v>78100</v>
      </c>
      <c r="P61" s="71" t="s">
        <v>37</v>
      </c>
      <c r="Q61" s="70"/>
      <c r="R61" s="61"/>
      <c r="S61" s="71"/>
      <c r="T61" s="382"/>
      <c r="U61" s="382"/>
      <c r="V61" s="382"/>
    </row>
    <row r="62" spans="1:22" s="75" customFormat="1" ht="15" x14ac:dyDescent="0.25">
      <c r="A62" s="383" t="s">
        <v>404</v>
      </c>
      <c r="B62" s="376" t="s">
        <v>432</v>
      </c>
      <c r="C62" s="56"/>
      <c r="D62" s="378">
        <v>225</v>
      </c>
      <c r="E62" s="378">
        <v>244</v>
      </c>
      <c r="F62" s="380" t="s">
        <v>246</v>
      </c>
      <c r="G62" s="380"/>
      <c r="H62" s="380"/>
      <c r="I62" s="380"/>
      <c r="J62" s="380"/>
      <c r="K62" s="380"/>
      <c r="L62" s="380"/>
      <c r="M62" s="380"/>
      <c r="N62" s="380"/>
      <c r="O62" s="380"/>
      <c r="P62" s="380"/>
      <c r="Q62" s="380"/>
      <c r="R62" s="380"/>
      <c r="S62" s="364"/>
      <c r="T62" s="381">
        <f>O64</f>
        <v>7300</v>
      </c>
      <c r="U62" s="381">
        <f>O65</f>
        <v>7700</v>
      </c>
      <c r="V62" s="381">
        <f>O66</f>
        <v>8000</v>
      </c>
    </row>
    <row r="63" spans="1:22" ht="12.75" customHeight="1" outlineLevel="1" x14ac:dyDescent="0.25">
      <c r="A63" s="383"/>
      <c r="B63" s="377"/>
      <c r="C63" s="64"/>
      <c r="D63" s="379"/>
      <c r="E63" s="384"/>
      <c r="F63" s="61"/>
      <c r="G63" s="364"/>
      <c r="H63" s="67" t="s">
        <v>259</v>
      </c>
      <c r="I63" s="139"/>
      <c r="J63" s="67" t="s">
        <v>73</v>
      </c>
      <c r="K63" s="364"/>
      <c r="L63" s="67" t="s">
        <v>41</v>
      </c>
      <c r="M63" s="364">
        <f>ROUND((G63*I63*K63),0)</f>
        <v>0</v>
      </c>
      <c r="N63" s="67" t="s">
        <v>37</v>
      </c>
      <c r="O63" s="70">
        <f>ROUNDUP((M63),-1)</f>
        <v>0</v>
      </c>
      <c r="P63" s="71" t="s">
        <v>37</v>
      </c>
      <c r="Q63" s="78"/>
      <c r="R63" s="61"/>
      <c r="S63" s="65"/>
      <c r="T63" s="381"/>
      <c r="U63" s="381"/>
      <c r="V63" s="381"/>
    </row>
    <row r="64" spans="1:22" ht="15.75" hidden="1" x14ac:dyDescent="0.25">
      <c r="A64" s="383"/>
      <c r="B64" s="377"/>
      <c r="C64" s="64"/>
      <c r="D64" s="379"/>
      <c r="E64" s="384"/>
      <c r="F64" s="68" t="str">
        <f>F59</f>
        <v>норматив на 2024 год :</v>
      </c>
      <c r="G64" s="364">
        <v>61</v>
      </c>
      <c r="H64" s="67" t="s">
        <v>259</v>
      </c>
      <c r="I64" s="139">
        <v>1</v>
      </c>
      <c r="J64" s="67" t="s">
        <v>73</v>
      </c>
      <c r="K64" s="129">
        <f>114*1.0487</f>
        <v>119.5518</v>
      </c>
      <c r="L64" s="67" t="s">
        <v>41</v>
      </c>
      <c r="M64" s="364">
        <f t="shared" ref="M64:M66" si="17">ROUND((G64*I64*K64),0)</f>
        <v>7293</v>
      </c>
      <c r="N64" s="67" t="s">
        <v>37</v>
      </c>
      <c r="O64" s="70">
        <f>ROUNDUP((M64),-2)</f>
        <v>7300</v>
      </c>
      <c r="P64" s="71" t="s">
        <v>37</v>
      </c>
      <c r="Q64" s="359"/>
      <c r="R64" s="61"/>
      <c r="S64" s="359"/>
      <c r="T64" s="381"/>
      <c r="U64" s="381"/>
      <c r="V64" s="381"/>
    </row>
    <row r="65" spans="1:22" ht="15.75" hidden="1" x14ac:dyDescent="0.25">
      <c r="A65" s="383"/>
      <c r="B65" s="377"/>
      <c r="C65" s="64"/>
      <c r="D65" s="379"/>
      <c r="E65" s="384"/>
      <c r="F65" s="68" t="str">
        <f t="shared" ref="F65:F66" si="18">F60</f>
        <v>норматив на 2025 год :</v>
      </c>
      <c r="G65" s="364">
        <v>61</v>
      </c>
      <c r="H65" s="67" t="s">
        <v>259</v>
      </c>
      <c r="I65" s="139">
        <v>1</v>
      </c>
      <c r="J65" s="67" t="s">
        <v>73</v>
      </c>
      <c r="K65" s="129">
        <f>K64*1.0457</f>
        <v>125.01531726</v>
      </c>
      <c r="L65" s="67" t="s">
        <v>41</v>
      </c>
      <c r="M65" s="364">
        <f t="shared" si="17"/>
        <v>7626</v>
      </c>
      <c r="N65" s="67" t="s">
        <v>37</v>
      </c>
      <c r="O65" s="70">
        <f t="shared" ref="O65:O66" si="19">ROUNDUP((M65),-2)</f>
        <v>7700</v>
      </c>
      <c r="P65" s="71" t="s">
        <v>37</v>
      </c>
      <c r="Q65" s="359"/>
      <c r="R65" s="61"/>
      <c r="S65" s="359"/>
      <c r="T65" s="381"/>
      <c r="U65" s="381"/>
      <c r="V65" s="381"/>
    </row>
    <row r="66" spans="1:22" ht="15.75" hidden="1" x14ac:dyDescent="0.25">
      <c r="A66" s="383"/>
      <c r="B66" s="377"/>
      <c r="C66" s="64"/>
      <c r="D66" s="379"/>
      <c r="E66" s="384"/>
      <c r="F66" s="68" t="str">
        <f t="shared" si="18"/>
        <v>норматив на 2026 год :</v>
      </c>
      <c r="G66" s="364">
        <v>61</v>
      </c>
      <c r="H66" s="67" t="s">
        <v>259</v>
      </c>
      <c r="I66" s="139">
        <v>1</v>
      </c>
      <c r="J66" s="67" t="s">
        <v>73</v>
      </c>
      <c r="K66" s="129">
        <f>K65*1.0457</f>
        <v>130.72851725878201</v>
      </c>
      <c r="L66" s="67" t="s">
        <v>41</v>
      </c>
      <c r="M66" s="364">
        <f t="shared" si="17"/>
        <v>7974</v>
      </c>
      <c r="N66" s="67" t="s">
        <v>37</v>
      </c>
      <c r="O66" s="70">
        <f t="shared" si="19"/>
        <v>8000</v>
      </c>
      <c r="P66" s="71" t="s">
        <v>37</v>
      </c>
      <c r="Q66" s="70"/>
      <c r="R66" s="61"/>
      <c r="S66" s="71"/>
      <c r="T66" s="382"/>
      <c r="U66" s="382"/>
      <c r="V66" s="382"/>
    </row>
    <row r="67" spans="1:22" s="75" customFormat="1" ht="15" x14ac:dyDescent="0.25">
      <c r="A67" s="383" t="s">
        <v>405</v>
      </c>
      <c r="B67" s="376" t="s">
        <v>433</v>
      </c>
      <c r="C67" s="56"/>
      <c r="D67" s="378">
        <v>225</v>
      </c>
      <c r="E67" s="378">
        <v>244</v>
      </c>
      <c r="F67" s="380" t="s">
        <v>246</v>
      </c>
      <c r="G67" s="380"/>
      <c r="H67" s="380"/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364"/>
      <c r="T67" s="381">
        <f>O69</f>
        <v>32000</v>
      </c>
      <c r="U67" s="381">
        <f>O70</f>
        <v>33500</v>
      </c>
      <c r="V67" s="381">
        <f>O71</f>
        <v>35000</v>
      </c>
    </row>
    <row r="68" spans="1:22" ht="13.5" customHeight="1" outlineLevel="1" x14ac:dyDescent="0.25">
      <c r="A68" s="383"/>
      <c r="B68" s="377"/>
      <c r="C68" s="64"/>
      <c r="D68" s="379"/>
      <c r="E68" s="384"/>
      <c r="F68" s="61"/>
      <c r="G68" s="364"/>
      <c r="H68" s="67" t="s">
        <v>259</v>
      </c>
      <c r="I68" s="139"/>
      <c r="J68" s="67" t="s">
        <v>73</v>
      </c>
      <c r="K68" s="364"/>
      <c r="L68" s="67" t="s">
        <v>41</v>
      </c>
      <c r="M68" s="364">
        <f>ROUND((G68*I68*K68),0)</f>
        <v>0</v>
      </c>
      <c r="N68" s="67" t="s">
        <v>37</v>
      </c>
      <c r="O68" s="70">
        <f>ROUNDUP((M68),-1)</f>
        <v>0</v>
      </c>
      <c r="P68" s="71" t="s">
        <v>37</v>
      </c>
      <c r="Q68" s="78"/>
      <c r="R68" s="61"/>
      <c r="S68" s="65"/>
      <c r="T68" s="381"/>
      <c r="U68" s="381"/>
      <c r="V68" s="381"/>
    </row>
    <row r="69" spans="1:22" ht="15.75" hidden="1" x14ac:dyDescent="0.25">
      <c r="A69" s="383"/>
      <c r="B69" s="377"/>
      <c r="C69" s="64"/>
      <c r="D69" s="379"/>
      <c r="E69" s="384"/>
      <c r="F69" s="68" t="str">
        <f>F64</f>
        <v>норматив на 2024 год :</v>
      </c>
      <c r="G69" s="364">
        <v>61</v>
      </c>
      <c r="H69" s="67" t="s">
        <v>259</v>
      </c>
      <c r="I69" s="139">
        <v>1</v>
      </c>
      <c r="J69" s="67" t="s">
        <v>73</v>
      </c>
      <c r="K69" s="129">
        <f>499.67*1.0487</f>
        <v>524.00392899999997</v>
      </c>
      <c r="L69" s="67" t="s">
        <v>41</v>
      </c>
      <c r="M69" s="364">
        <f t="shared" ref="M69:M71" si="20">ROUND((G69*I69*K69),0)</f>
        <v>31964</v>
      </c>
      <c r="N69" s="67" t="s">
        <v>37</v>
      </c>
      <c r="O69" s="70">
        <f>ROUNDUP((M69),-2)</f>
        <v>32000</v>
      </c>
      <c r="P69" s="71" t="s">
        <v>37</v>
      </c>
      <c r="Q69" s="359"/>
      <c r="R69" s="61"/>
      <c r="S69" s="359"/>
      <c r="T69" s="381"/>
      <c r="U69" s="381"/>
      <c r="V69" s="381"/>
    </row>
    <row r="70" spans="1:22" ht="15.75" hidden="1" x14ac:dyDescent="0.25">
      <c r="A70" s="383"/>
      <c r="B70" s="377"/>
      <c r="C70" s="64"/>
      <c r="D70" s="379"/>
      <c r="E70" s="384"/>
      <c r="F70" s="68" t="str">
        <f t="shared" ref="F70:F71" si="21">F65</f>
        <v>норматив на 2025 год :</v>
      </c>
      <c r="G70" s="364">
        <v>61</v>
      </c>
      <c r="H70" s="67" t="s">
        <v>259</v>
      </c>
      <c r="I70" s="139">
        <v>1</v>
      </c>
      <c r="J70" s="67" t="s">
        <v>73</v>
      </c>
      <c r="K70" s="129">
        <f>K69*1.0457</f>
        <v>547.95090855529997</v>
      </c>
      <c r="L70" s="67" t="s">
        <v>41</v>
      </c>
      <c r="M70" s="364">
        <f t="shared" si="20"/>
        <v>33425</v>
      </c>
      <c r="N70" s="67" t="s">
        <v>37</v>
      </c>
      <c r="O70" s="70">
        <f t="shared" ref="O70:O71" si="22">ROUNDUP((M70),-2)</f>
        <v>33500</v>
      </c>
      <c r="P70" s="71" t="s">
        <v>37</v>
      </c>
      <c r="Q70" s="359"/>
      <c r="R70" s="61"/>
      <c r="S70" s="359"/>
      <c r="T70" s="381"/>
      <c r="U70" s="381"/>
      <c r="V70" s="381"/>
    </row>
    <row r="71" spans="1:22" ht="15.75" hidden="1" x14ac:dyDescent="0.25">
      <c r="A71" s="383"/>
      <c r="B71" s="377"/>
      <c r="C71" s="64"/>
      <c r="D71" s="379"/>
      <c r="E71" s="384"/>
      <c r="F71" s="68" t="str">
        <f t="shared" si="21"/>
        <v>норматив на 2026 год :</v>
      </c>
      <c r="G71" s="364">
        <v>61</v>
      </c>
      <c r="H71" s="67" t="s">
        <v>259</v>
      </c>
      <c r="I71" s="139">
        <v>1</v>
      </c>
      <c r="J71" s="67" t="s">
        <v>73</v>
      </c>
      <c r="K71" s="129">
        <f>K70*1.0457</f>
        <v>572.99226507627725</v>
      </c>
      <c r="L71" s="67" t="s">
        <v>41</v>
      </c>
      <c r="M71" s="364">
        <f t="shared" si="20"/>
        <v>34953</v>
      </c>
      <c r="N71" s="67" t="s">
        <v>37</v>
      </c>
      <c r="O71" s="70">
        <f t="shared" si="22"/>
        <v>35000</v>
      </c>
      <c r="P71" s="71" t="s">
        <v>37</v>
      </c>
      <c r="Q71" s="70"/>
      <c r="R71" s="61"/>
      <c r="S71" s="71"/>
      <c r="T71" s="382"/>
      <c r="U71" s="382"/>
      <c r="V71" s="382"/>
    </row>
    <row r="72" spans="1:22" s="75" customFormat="1" ht="15" x14ac:dyDescent="0.25">
      <c r="A72" s="438" t="s">
        <v>461</v>
      </c>
      <c r="B72" s="376" t="s">
        <v>434</v>
      </c>
      <c r="C72" s="56"/>
      <c r="D72" s="378">
        <v>225</v>
      </c>
      <c r="E72" s="378">
        <v>244</v>
      </c>
      <c r="F72" s="380" t="s">
        <v>246</v>
      </c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0"/>
      <c r="R72" s="380"/>
      <c r="S72" s="364"/>
      <c r="T72" s="381">
        <f>O74</f>
        <v>166800</v>
      </c>
      <c r="U72" s="381">
        <f>O75</f>
        <v>174400</v>
      </c>
      <c r="V72" s="381">
        <f>O76</f>
        <v>182400</v>
      </c>
    </row>
    <row r="73" spans="1:22" ht="10.5" customHeight="1" outlineLevel="1" x14ac:dyDescent="0.25">
      <c r="A73" s="438"/>
      <c r="B73" s="377"/>
      <c r="C73" s="64"/>
      <c r="D73" s="379"/>
      <c r="E73" s="384"/>
      <c r="F73" s="61"/>
      <c r="G73" s="364"/>
      <c r="H73" s="67"/>
      <c r="I73" s="139"/>
      <c r="J73" s="67" t="s">
        <v>67</v>
      </c>
      <c r="K73" s="364"/>
      <c r="L73" s="67" t="s">
        <v>41</v>
      </c>
      <c r="M73" s="364">
        <f>ROUND((G73*I73*K73),0)</f>
        <v>0</v>
      </c>
      <c r="N73" s="67" t="s">
        <v>37</v>
      </c>
      <c r="O73" s="70">
        <f>ROUNDUP((M73),-1)</f>
        <v>0</v>
      </c>
      <c r="P73" s="71" t="s">
        <v>37</v>
      </c>
      <c r="Q73" s="78"/>
      <c r="R73" s="61"/>
      <c r="S73" s="65"/>
      <c r="T73" s="381"/>
      <c r="U73" s="381"/>
      <c r="V73" s="381"/>
    </row>
    <row r="74" spans="1:22" ht="15.75" hidden="1" x14ac:dyDescent="0.25">
      <c r="A74" s="438"/>
      <c r="B74" s="377"/>
      <c r="C74" s="64"/>
      <c r="D74" s="379"/>
      <c r="E74" s="384"/>
      <c r="F74" s="68" t="str">
        <f>F14</f>
        <v>норматив на 2024 год :</v>
      </c>
      <c r="G74" s="364">
        <v>1</v>
      </c>
      <c r="H74" s="67" t="s">
        <v>77</v>
      </c>
      <c r="I74" s="139">
        <v>1</v>
      </c>
      <c r="J74" s="67" t="s">
        <v>67</v>
      </c>
      <c r="K74" s="129">
        <f>158999.93*1.0487</f>
        <v>166743.22659099998</v>
      </c>
      <c r="L74" s="67" t="s">
        <v>41</v>
      </c>
      <c r="M74" s="364">
        <f t="shared" ref="M74:M76" si="23">ROUND((G74*I74*K74),0)</f>
        <v>166743</v>
      </c>
      <c r="N74" s="67" t="s">
        <v>37</v>
      </c>
      <c r="O74" s="70">
        <f>ROUNDUP((M74),-2)</f>
        <v>166800</v>
      </c>
      <c r="P74" s="71" t="s">
        <v>37</v>
      </c>
      <c r="Q74" s="359"/>
      <c r="R74" s="61"/>
      <c r="S74" s="359"/>
      <c r="T74" s="381"/>
      <c r="U74" s="381"/>
      <c r="V74" s="381"/>
    </row>
    <row r="75" spans="1:22" ht="15.75" hidden="1" x14ac:dyDescent="0.25">
      <c r="A75" s="438"/>
      <c r="B75" s="377"/>
      <c r="C75" s="64"/>
      <c r="D75" s="379"/>
      <c r="E75" s="384"/>
      <c r="F75" s="68" t="str">
        <f>F15</f>
        <v>норматив на 2025 год :</v>
      </c>
      <c r="G75" s="364">
        <v>1</v>
      </c>
      <c r="H75" s="67" t="s">
        <v>77</v>
      </c>
      <c r="I75" s="139">
        <v>1</v>
      </c>
      <c r="J75" s="67" t="s">
        <v>67</v>
      </c>
      <c r="K75" s="129">
        <f>K74*1.0457</f>
        <v>174363.3920462087</v>
      </c>
      <c r="L75" s="67" t="s">
        <v>41</v>
      </c>
      <c r="M75" s="364">
        <f t="shared" si="23"/>
        <v>174363</v>
      </c>
      <c r="N75" s="67" t="s">
        <v>37</v>
      </c>
      <c r="O75" s="70">
        <f t="shared" ref="O75:O76" si="24">ROUNDUP((M75),-2)</f>
        <v>174400</v>
      </c>
      <c r="P75" s="71" t="s">
        <v>37</v>
      </c>
      <c r="Q75" s="359"/>
      <c r="R75" s="61"/>
      <c r="S75" s="359"/>
      <c r="T75" s="381"/>
      <c r="U75" s="381"/>
      <c r="V75" s="381"/>
    </row>
    <row r="76" spans="1:22" ht="15.75" hidden="1" x14ac:dyDescent="0.25">
      <c r="A76" s="438"/>
      <c r="B76" s="377"/>
      <c r="C76" s="64"/>
      <c r="D76" s="379"/>
      <c r="E76" s="384"/>
      <c r="F76" s="68" t="str">
        <f>F16</f>
        <v>норматив на 2026 год :</v>
      </c>
      <c r="G76" s="364">
        <v>1</v>
      </c>
      <c r="H76" s="67" t="s">
        <v>77</v>
      </c>
      <c r="I76" s="139">
        <v>1</v>
      </c>
      <c r="J76" s="67" t="s">
        <v>67</v>
      </c>
      <c r="K76" s="129">
        <f>K75*1.0457</f>
        <v>182331.79906272044</v>
      </c>
      <c r="L76" s="67" t="s">
        <v>41</v>
      </c>
      <c r="M76" s="364">
        <f t="shared" si="23"/>
        <v>182332</v>
      </c>
      <c r="N76" s="67" t="s">
        <v>37</v>
      </c>
      <c r="O76" s="70">
        <f t="shared" si="24"/>
        <v>182400</v>
      </c>
      <c r="P76" s="71" t="s">
        <v>37</v>
      </c>
      <c r="Q76" s="70"/>
      <c r="R76" s="61"/>
      <c r="S76" s="71"/>
      <c r="T76" s="382"/>
      <c r="U76" s="382"/>
      <c r="V76" s="382"/>
    </row>
    <row r="77" spans="1:22" ht="47.25" customHeight="1" x14ac:dyDescent="0.25">
      <c r="A77" s="281" t="s">
        <v>14</v>
      </c>
      <c r="B77" s="351" t="s">
        <v>435</v>
      </c>
      <c r="C77" s="88"/>
      <c r="D77" s="248" t="s">
        <v>35</v>
      </c>
      <c r="E77" s="248" t="s">
        <v>35</v>
      </c>
      <c r="F77" s="423"/>
      <c r="G77" s="424"/>
      <c r="H77" s="424"/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255">
        <f>T78+T82+T87+T92+T97+T102+T107+T112+T117+T122+T127+T132</f>
        <v>4849600</v>
      </c>
      <c r="U77" s="255">
        <f t="shared" ref="U77:V77" si="25">U78+U82+U87+U92+U97+U102+U107+U112+U117+U122+U127+U132</f>
        <v>5069200</v>
      </c>
      <c r="V77" s="255">
        <f t="shared" si="25"/>
        <v>5298200</v>
      </c>
    </row>
    <row r="78" spans="1:22" x14ac:dyDescent="0.25">
      <c r="A78" s="383" t="s">
        <v>15</v>
      </c>
      <c r="B78" s="376" t="s">
        <v>436</v>
      </c>
      <c r="C78" s="64"/>
      <c r="D78" s="378">
        <v>226</v>
      </c>
      <c r="E78" s="378">
        <v>244</v>
      </c>
      <c r="F78" s="425" t="s">
        <v>382</v>
      </c>
      <c r="G78" s="425"/>
      <c r="H78" s="425"/>
      <c r="I78" s="425"/>
      <c r="J78" s="425"/>
      <c r="K78" s="425"/>
      <c r="L78" s="425"/>
      <c r="M78" s="425"/>
      <c r="N78" s="425"/>
      <c r="O78" s="425"/>
      <c r="P78" s="425"/>
      <c r="Q78" s="425"/>
      <c r="R78" s="425"/>
      <c r="S78" s="65"/>
      <c r="T78" s="381">
        <f>O79</f>
        <v>429500</v>
      </c>
      <c r="U78" s="381">
        <f>O80</f>
        <v>447300</v>
      </c>
      <c r="V78" s="381">
        <f>O81</f>
        <v>465200</v>
      </c>
    </row>
    <row r="79" spans="1:22" ht="13.5" customHeight="1" x14ac:dyDescent="0.25">
      <c r="A79" s="383"/>
      <c r="B79" s="377"/>
      <c r="C79" s="64"/>
      <c r="D79" s="379"/>
      <c r="E79" s="379"/>
      <c r="F79" s="68" t="str">
        <f>F14</f>
        <v>норматив на 2024 год :</v>
      </c>
      <c r="G79" s="364">
        <v>213</v>
      </c>
      <c r="H79" s="67" t="s">
        <v>48</v>
      </c>
      <c r="I79" s="364">
        <v>168</v>
      </c>
      <c r="J79" s="67" t="s">
        <v>49</v>
      </c>
      <c r="K79" s="140">
        <v>12</v>
      </c>
      <c r="L79" s="67" t="s">
        <v>50</v>
      </c>
      <c r="M79" s="364">
        <f t="shared" ref="M79:M81" si="26">ROUND((G79*I79*K79),0)</f>
        <v>429408</v>
      </c>
      <c r="N79" s="67" t="s">
        <v>41</v>
      </c>
      <c r="O79" s="70">
        <f>ROUNDUP((M79),-2)</f>
        <v>429500</v>
      </c>
      <c r="P79" s="71" t="s">
        <v>37</v>
      </c>
      <c r="Q79" s="67"/>
      <c r="R79" s="65"/>
      <c r="S79" s="65"/>
      <c r="T79" s="381"/>
      <c r="U79" s="381"/>
      <c r="V79" s="381"/>
    </row>
    <row r="80" spans="1:22" ht="15" hidden="1" x14ac:dyDescent="0.25">
      <c r="A80" s="383"/>
      <c r="B80" s="377"/>
      <c r="C80" s="64"/>
      <c r="D80" s="379"/>
      <c r="E80" s="379"/>
      <c r="F80" s="68" t="str">
        <f>F15</f>
        <v>норматив на 2025 год :</v>
      </c>
      <c r="G80" s="364">
        <v>213</v>
      </c>
      <c r="H80" s="67" t="s">
        <v>48</v>
      </c>
      <c r="I80" s="364">
        <v>174.99</v>
      </c>
      <c r="J80" s="67" t="s">
        <v>49</v>
      </c>
      <c r="K80" s="140">
        <v>12</v>
      </c>
      <c r="L80" s="67" t="s">
        <v>50</v>
      </c>
      <c r="M80" s="364">
        <f t="shared" si="26"/>
        <v>447274</v>
      </c>
      <c r="N80" s="67" t="s">
        <v>41</v>
      </c>
      <c r="O80" s="70">
        <f t="shared" ref="O80:O81" si="27">ROUNDUP((M80),-2)</f>
        <v>447300</v>
      </c>
      <c r="P80" s="71" t="s">
        <v>37</v>
      </c>
      <c r="Q80" s="67"/>
      <c r="R80" s="65"/>
      <c r="S80" s="65"/>
      <c r="T80" s="381"/>
      <c r="U80" s="381"/>
      <c r="V80" s="381"/>
    </row>
    <row r="81" spans="1:22" ht="15" hidden="1" x14ac:dyDescent="0.25">
      <c r="A81" s="383"/>
      <c r="B81" s="377"/>
      <c r="C81" s="64"/>
      <c r="D81" s="379"/>
      <c r="E81" s="379"/>
      <c r="F81" s="68" t="str">
        <f>F16</f>
        <v>норматив на 2026 год :</v>
      </c>
      <c r="G81" s="364">
        <v>213</v>
      </c>
      <c r="H81" s="67" t="s">
        <v>48</v>
      </c>
      <c r="I81" s="364">
        <v>181.97</v>
      </c>
      <c r="J81" s="67" t="s">
        <v>49</v>
      </c>
      <c r="K81" s="140">
        <v>12</v>
      </c>
      <c r="L81" s="67" t="s">
        <v>50</v>
      </c>
      <c r="M81" s="364">
        <f t="shared" si="26"/>
        <v>465115</v>
      </c>
      <c r="N81" s="67" t="s">
        <v>41</v>
      </c>
      <c r="O81" s="70">
        <f t="shared" si="27"/>
        <v>465200</v>
      </c>
      <c r="P81" s="71" t="s">
        <v>37</v>
      </c>
      <c r="Q81" s="67"/>
      <c r="R81" s="65"/>
      <c r="S81" s="65"/>
      <c r="T81" s="381"/>
      <c r="U81" s="381"/>
      <c r="V81" s="381"/>
    </row>
    <row r="82" spans="1:22" ht="15" x14ac:dyDescent="0.25">
      <c r="A82" s="383" t="s">
        <v>181</v>
      </c>
      <c r="B82" s="376" t="s">
        <v>437</v>
      </c>
      <c r="C82" s="64"/>
      <c r="D82" s="378">
        <v>226</v>
      </c>
      <c r="E82" s="378">
        <v>244</v>
      </c>
      <c r="F82" s="380" t="s">
        <v>248</v>
      </c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65"/>
      <c r="T82" s="381">
        <f>O84</f>
        <v>2900</v>
      </c>
      <c r="U82" s="385">
        <f>O85</f>
        <v>3000</v>
      </c>
      <c r="V82" s="381">
        <f>O86</f>
        <v>3200</v>
      </c>
    </row>
    <row r="83" spans="1:22" ht="15" outlineLevel="1" x14ac:dyDescent="0.25">
      <c r="A83" s="383"/>
      <c r="B83" s="377"/>
      <c r="C83" s="64"/>
      <c r="D83" s="379"/>
      <c r="E83" s="384"/>
      <c r="F83" s="61">
        <v>2022</v>
      </c>
      <c r="G83" s="364">
        <v>1</v>
      </c>
      <c r="H83" s="67" t="s">
        <v>252</v>
      </c>
      <c r="I83" s="364">
        <v>1</v>
      </c>
      <c r="J83" s="67" t="s">
        <v>73</v>
      </c>
      <c r="K83" s="364">
        <v>2500</v>
      </c>
      <c r="L83" s="67" t="s">
        <v>41</v>
      </c>
      <c r="M83" s="364">
        <f>ROUND((G83*I83*K83),0)</f>
        <v>2500</v>
      </c>
      <c r="N83" s="67" t="s">
        <v>37</v>
      </c>
      <c r="O83" s="70">
        <f>ROUNDUP((M83),-2)</f>
        <v>2500</v>
      </c>
      <c r="P83" s="71" t="s">
        <v>37</v>
      </c>
      <c r="Q83" s="67"/>
      <c r="R83" s="65"/>
      <c r="S83" s="65"/>
      <c r="T83" s="381"/>
      <c r="U83" s="386"/>
      <c r="V83" s="381"/>
    </row>
    <row r="84" spans="1:22" ht="9" customHeight="1" x14ac:dyDescent="0.25">
      <c r="A84" s="383"/>
      <c r="B84" s="377"/>
      <c r="C84" s="64"/>
      <c r="D84" s="379"/>
      <c r="E84" s="384"/>
      <c r="F84" s="68" t="str">
        <f>F14</f>
        <v>норматив на 2024 год :</v>
      </c>
      <c r="G84" s="364">
        <v>1</v>
      </c>
      <c r="H84" s="65" t="s">
        <v>252</v>
      </c>
      <c r="I84" s="69">
        <v>1</v>
      </c>
      <c r="J84" s="67" t="str">
        <f>J83</f>
        <v>раз х средняя цена</v>
      </c>
      <c r="K84" s="364">
        <f>K83*1.0822*1.0487</f>
        <v>2837.25785</v>
      </c>
      <c r="L84" s="67" t="s">
        <v>41</v>
      </c>
      <c r="M84" s="364">
        <f t="shared" ref="M84:M86" si="28">ROUND((G84*I84*K84),0)</f>
        <v>2837</v>
      </c>
      <c r="N84" s="71" t="s">
        <v>37</v>
      </c>
      <c r="O84" s="70">
        <f t="shared" ref="O84:O86" si="29">ROUNDUP((M84),-2)</f>
        <v>2900</v>
      </c>
      <c r="P84" s="71" t="s">
        <v>37</v>
      </c>
      <c r="Q84" s="359"/>
      <c r="R84" s="71"/>
      <c r="S84" s="65"/>
      <c r="T84" s="381"/>
      <c r="U84" s="386"/>
      <c r="V84" s="381"/>
    </row>
    <row r="85" spans="1:22" ht="15" outlineLevel="1" collapsed="1" x14ac:dyDescent="0.25">
      <c r="A85" s="383"/>
      <c r="B85" s="377"/>
      <c r="C85" s="64"/>
      <c r="D85" s="379"/>
      <c r="E85" s="384"/>
      <c r="F85" s="68" t="str">
        <f>F15</f>
        <v>норматив на 2025 год :</v>
      </c>
      <c r="G85" s="364">
        <v>1</v>
      </c>
      <c r="H85" s="67" t="str">
        <f>H84</f>
        <v xml:space="preserve">чел. </v>
      </c>
      <c r="I85" s="69">
        <v>1</v>
      </c>
      <c r="J85" s="67" t="str">
        <f>J83</f>
        <v>раз х средняя цена</v>
      </c>
      <c r="K85" s="364">
        <f>K84*1.0457</f>
        <v>2966.9205337450003</v>
      </c>
      <c r="L85" s="67" t="s">
        <v>41</v>
      </c>
      <c r="M85" s="364">
        <f t="shared" si="28"/>
        <v>2967</v>
      </c>
      <c r="N85" s="71" t="s">
        <v>37</v>
      </c>
      <c r="O85" s="70">
        <f t="shared" si="29"/>
        <v>3000</v>
      </c>
      <c r="P85" s="71" t="s">
        <v>37</v>
      </c>
      <c r="Q85" s="93"/>
      <c r="R85" s="71"/>
      <c r="S85" s="65"/>
      <c r="T85" s="381"/>
      <c r="U85" s="386"/>
      <c r="V85" s="381"/>
    </row>
    <row r="86" spans="1:22" ht="15" hidden="1" x14ac:dyDescent="0.25">
      <c r="A86" s="383"/>
      <c r="B86" s="377"/>
      <c r="C86" s="64"/>
      <c r="D86" s="379"/>
      <c r="E86" s="384"/>
      <c r="F86" s="68" t="str">
        <f>F16</f>
        <v>норматив на 2026 год :</v>
      </c>
      <c r="G86" s="364">
        <v>1</v>
      </c>
      <c r="H86" s="67" t="str">
        <f>H84</f>
        <v xml:space="preserve">чел. </v>
      </c>
      <c r="I86" s="69">
        <v>1</v>
      </c>
      <c r="J86" s="67" t="str">
        <f>J83</f>
        <v>раз х средняя цена</v>
      </c>
      <c r="K86" s="364">
        <f>K85*1.0457</f>
        <v>3102.5088021371471</v>
      </c>
      <c r="L86" s="67" t="s">
        <v>41</v>
      </c>
      <c r="M86" s="364">
        <f t="shared" si="28"/>
        <v>3103</v>
      </c>
      <c r="N86" s="71" t="s">
        <v>37</v>
      </c>
      <c r="O86" s="70">
        <f t="shared" si="29"/>
        <v>3200</v>
      </c>
      <c r="P86" s="71" t="s">
        <v>37</v>
      </c>
      <c r="Q86" s="70"/>
      <c r="R86" s="71"/>
      <c r="S86" s="65"/>
      <c r="T86" s="382"/>
      <c r="U86" s="387"/>
      <c r="V86" s="382"/>
    </row>
    <row r="87" spans="1:22" ht="15" x14ac:dyDescent="0.25">
      <c r="A87" s="383" t="s">
        <v>31</v>
      </c>
      <c r="B87" s="376" t="s">
        <v>438</v>
      </c>
      <c r="C87" s="64"/>
      <c r="D87" s="378">
        <v>226</v>
      </c>
      <c r="E87" s="378">
        <v>244</v>
      </c>
      <c r="F87" s="380" t="s">
        <v>257</v>
      </c>
      <c r="G87" s="380"/>
      <c r="H87" s="380"/>
      <c r="I87" s="380"/>
      <c r="J87" s="380"/>
      <c r="K87" s="380"/>
      <c r="L87" s="380"/>
      <c r="M87" s="380"/>
      <c r="N87" s="380"/>
      <c r="O87" s="380"/>
      <c r="P87" s="380"/>
      <c r="Q87" s="380"/>
      <c r="R87" s="380"/>
      <c r="S87" s="65"/>
      <c r="T87" s="381">
        <f>O89</f>
        <v>31500</v>
      </c>
      <c r="U87" s="381">
        <f>O90</f>
        <v>32900</v>
      </c>
      <c r="V87" s="381">
        <f>O91</f>
        <v>34400</v>
      </c>
    </row>
    <row r="88" spans="1:22" ht="15" outlineLevel="1" x14ac:dyDescent="0.25">
      <c r="A88" s="383"/>
      <c r="B88" s="377"/>
      <c r="C88" s="64"/>
      <c r="D88" s="379"/>
      <c r="E88" s="384"/>
      <c r="F88" s="61">
        <v>2023</v>
      </c>
      <c r="G88" s="364">
        <v>1</v>
      </c>
      <c r="H88" s="67" t="s">
        <v>252</v>
      </c>
      <c r="I88" s="140">
        <v>222</v>
      </c>
      <c r="J88" s="67" t="s">
        <v>73</v>
      </c>
      <c r="K88" s="364"/>
      <c r="L88" s="67" t="s">
        <v>41</v>
      </c>
      <c r="M88" s="364">
        <f>ROUND((G88*I88*K88),0)</f>
        <v>0</v>
      </c>
      <c r="N88" s="67" t="s">
        <v>37</v>
      </c>
      <c r="O88" s="70">
        <f>ROUNDUP((M88),-1)</f>
        <v>0</v>
      </c>
      <c r="P88" s="71" t="s">
        <v>37</v>
      </c>
      <c r="Q88" s="67"/>
      <c r="R88" s="65"/>
      <c r="S88" s="65"/>
      <c r="T88" s="381"/>
      <c r="U88" s="381"/>
      <c r="V88" s="381"/>
    </row>
    <row r="89" spans="1:22" ht="9" customHeight="1" x14ac:dyDescent="0.25">
      <c r="A89" s="383"/>
      <c r="B89" s="377"/>
      <c r="C89" s="64"/>
      <c r="D89" s="379"/>
      <c r="E89" s="384"/>
      <c r="F89" s="68" t="str">
        <f>F14</f>
        <v>норматив на 2024 год :</v>
      </c>
      <c r="G89" s="364">
        <v>1</v>
      </c>
      <c r="H89" s="67" t="s">
        <v>252</v>
      </c>
      <c r="I89" s="140">
        <v>222</v>
      </c>
      <c r="J89" s="67" t="str">
        <f>J88</f>
        <v>раз х средняя цена</v>
      </c>
      <c r="K89" s="364">
        <f>135*1.0487</f>
        <v>141.5745</v>
      </c>
      <c r="L89" s="67" t="s">
        <v>41</v>
      </c>
      <c r="M89" s="364">
        <f t="shared" ref="M89:M91" si="30">ROUND((G89*I89*K89),0)</f>
        <v>31430</v>
      </c>
      <c r="N89" s="71" t="s">
        <v>37</v>
      </c>
      <c r="O89" s="70">
        <f>ROUNDUP((M89),-2)</f>
        <v>31500</v>
      </c>
      <c r="P89" s="71" t="s">
        <v>37</v>
      </c>
      <c r="Q89" s="70"/>
      <c r="R89" s="359"/>
      <c r="S89" s="65"/>
      <c r="T89" s="381"/>
      <c r="U89" s="381"/>
      <c r="V89" s="381"/>
    </row>
    <row r="90" spans="1:22" ht="15" hidden="1" x14ac:dyDescent="0.25">
      <c r="A90" s="383"/>
      <c r="B90" s="377"/>
      <c r="C90" s="64"/>
      <c r="D90" s="379"/>
      <c r="E90" s="384"/>
      <c r="F90" s="68" t="str">
        <f>F15</f>
        <v>норматив на 2025 год :</v>
      </c>
      <c r="G90" s="364">
        <v>1</v>
      </c>
      <c r="H90" s="67" t="str">
        <f>H89</f>
        <v xml:space="preserve">чел. </v>
      </c>
      <c r="I90" s="140">
        <v>222</v>
      </c>
      <c r="J90" s="67" t="str">
        <f>J88</f>
        <v>раз х средняя цена</v>
      </c>
      <c r="K90" s="364">
        <f>K89*1.0457</f>
        <v>148.04445465000001</v>
      </c>
      <c r="L90" s="67" t="s">
        <v>41</v>
      </c>
      <c r="M90" s="364">
        <f t="shared" si="30"/>
        <v>32866</v>
      </c>
      <c r="N90" s="71" t="s">
        <v>37</v>
      </c>
      <c r="O90" s="70">
        <f t="shared" ref="O90:O91" si="31">ROUNDUP((M90),-2)</f>
        <v>32900</v>
      </c>
      <c r="P90" s="71" t="s">
        <v>37</v>
      </c>
      <c r="Q90" s="70"/>
      <c r="R90" s="359"/>
      <c r="S90" s="65"/>
      <c r="T90" s="381"/>
      <c r="U90" s="381"/>
      <c r="V90" s="381"/>
    </row>
    <row r="91" spans="1:22" ht="7.5" customHeight="1" x14ac:dyDescent="0.25">
      <c r="A91" s="383"/>
      <c r="B91" s="377"/>
      <c r="C91" s="64"/>
      <c r="D91" s="379"/>
      <c r="E91" s="384"/>
      <c r="F91" s="68" t="str">
        <f>F16</f>
        <v>норматив на 2026 год :</v>
      </c>
      <c r="G91" s="364">
        <v>1</v>
      </c>
      <c r="H91" s="67" t="str">
        <f>H89</f>
        <v xml:space="preserve">чел. </v>
      </c>
      <c r="I91" s="140">
        <v>222</v>
      </c>
      <c r="J91" s="67" t="str">
        <f>J88</f>
        <v>раз х средняя цена</v>
      </c>
      <c r="K91" s="364">
        <f>K90*1.0457</f>
        <v>154.81008622750502</v>
      </c>
      <c r="L91" s="67" t="s">
        <v>41</v>
      </c>
      <c r="M91" s="364">
        <f t="shared" si="30"/>
        <v>34368</v>
      </c>
      <c r="N91" s="71" t="s">
        <v>37</v>
      </c>
      <c r="O91" s="70">
        <f t="shared" si="31"/>
        <v>34400</v>
      </c>
      <c r="P91" s="71" t="s">
        <v>37</v>
      </c>
      <c r="Q91" s="70"/>
      <c r="R91" s="71"/>
      <c r="S91" s="65"/>
      <c r="T91" s="382"/>
      <c r="U91" s="382"/>
      <c r="V91" s="382"/>
    </row>
    <row r="92" spans="1:22" ht="15" x14ac:dyDescent="0.25">
      <c r="A92" s="383" t="s">
        <v>298</v>
      </c>
      <c r="B92" s="376" t="s">
        <v>439</v>
      </c>
      <c r="C92" s="64"/>
      <c r="D92" s="378">
        <v>226</v>
      </c>
      <c r="E92" s="378">
        <v>244</v>
      </c>
      <c r="F92" s="380" t="s">
        <v>358</v>
      </c>
      <c r="G92" s="380"/>
      <c r="H92" s="380"/>
      <c r="I92" s="380"/>
      <c r="J92" s="380"/>
      <c r="K92" s="380"/>
      <c r="L92" s="380"/>
      <c r="M92" s="380"/>
      <c r="N92" s="380"/>
      <c r="O92" s="380"/>
      <c r="P92" s="380"/>
      <c r="Q92" s="380"/>
      <c r="R92" s="380"/>
      <c r="S92" s="65"/>
      <c r="T92" s="381">
        <f>O94</f>
        <v>150200</v>
      </c>
      <c r="U92" s="381">
        <f>O95</f>
        <v>157000</v>
      </c>
      <c r="V92" s="381">
        <f>O96</f>
        <v>164200</v>
      </c>
    </row>
    <row r="93" spans="1:22" ht="18.75" customHeight="1" outlineLevel="1" x14ac:dyDescent="0.25">
      <c r="A93" s="383"/>
      <c r="B93" s="377"/>
      <c r="C93" s="64"/>
      <c r="D93" s="379"/>
      <c r="E93" s="384"/>
      <c r="F93" s="61"/>
      <c r="G93" s="364">
        <v>8760</v>
      </c>
      <c r="H93" s="65" t="s">
        <v>375</v>
      </c>
      <c r="I93" s="364"/>
      <c r="J93" s="67" t="s">
        <v>250</v>
      </c>
      <c r="K93" s="364">
        <f>I93*G93</f>
        <v>0</v>
      </c>
      <c r="L93" s="67" t="s">
        <v>41</v>
      </c>
      <c r="M93" s="364">
        <f>ROUND((K93),0)</f>
        <v>0</v>
      </c>
      <c r="N93" s="67" t="s">
        <v>37</v>
      </c>
      <c r="O93" s="70">
        <f>ROUNDUP((M93),-1)</f>
        <v>0</v>
      </c>
      <c r="P93" s="71" t="s">
        <v>37</v>
      </c>
      <c r="Q93" s="67"/>
      <c r="R93" s="65"/>
      <c r="S93" s="65"/>
      <c r="T93" s="381"/>
      <c r="U93" s="381"/>
      <c r="V93" s="381"/>
    </row>
    <row r="94" spans="1:22" ht="5.25" customHeight="1" x14ac:dyDescent="0.25">
      <c r="A94" s="383"/>
      <c r="B94" s="377"/>
      <c r="C94" s="64"/>
      <c r="D94" s="379"/>
      <c r="E94" s="384"/>
      <c r="F94" s="68" t="str">
        <f>F14</f>
        <v>норматив на 2024 год :</v>
      </c>
      <c r="G94" s="364">
        <v>8760</v>
      </c>
      <c r="H94" s="65" t="s">
        <v>375</v>
      </c>
      <c r="I94" s="364">
        <f>16.34*1.0487</f>
        <v>17.135757999999999</v>
      </c>
      <c r="J94" s="67" t="str">
        <f>J93</f>
        <v>руб. цена одного часа</v>
      </c>
      <c r="K94" s="364">
        <f t="shared" ref="K94:K96" si="32">I94*G94</f>
        <v>150109.24007999999</v>
      </c>
      <c r="L94" s="67" t="s">
        <v>41</v>
      </c>
      <c r="M94" s="364">
        <f t="shared" ref="M94:M96" si="33">ROUND((K94),0)</f>
        <v>150109</v>
      </c>
      <c r="N94" s="71" t="s">
        <v>37</v>
      </c>
      <c r="O94" s="70">
        <f>ROUNDUP((M94),-2)</f>
        <v>150200</v>
      </c>
      <c r="P94" s="71" t="s">
        <v>37</v>
      </c>
      <c r="Q94" s="70"/>
      <c r="R94" s="71"/>
      <c r="S94" s="65"/>
      <c r="T94" s="381"/>
      <c r="U94" s="381"/>
      <c r="V94" s="381"/>
    </row>
    <row r="95" spans="1:22" ht="15" hidden="1" x14ac:dyDescent="0.25">
      <c r="A95" s="383"/>
      <c r="B95" s="377"/>
      <c r="C95" s="64"/>
      <c r="D95" s="379"/>
      <c r="E95" s="384"/>
      <c r="F95" s="68" t="str">
        <f>F15</f>
        <v>норматив на 2025 год :</v>
      </c>
      <c r="G95" s="364">
        <v>8760</v>
      </c>
      <c r="H95" s="65" t="s">
        <v>375</v>
      </c>
      <c r="I95" s="364">
        <f>I94*1.0457</f>
        <v>17.918862140600002</v>
      </c>
      <c r="J95" s="67" t="str">
        <f>J93</f>
        <v>руб. цена одного часа</v>
      </c>
      <c r="K95" s="364">
        <f t="shared" si="32"/>
        <v>156969.23235165601</v>
      </c>
      <c r="L95" s="67" t="s">
        <v>41</v>
      </c>
      <c r="M95" s="364">
        <f t="shared" si="33"/>
        <v>156969</v>
      </c>
      <c r="N95" s="71" t="s">
        <v>37</v>
      </c>
      <c r="O95" s="70">
        <f t="shared" ref="O95:O96" si="34">ROUNDUP((M95),-2)</f>
        <v>157000</v>
      </c>
      <c r="P95" s="71" t="s">
        <v>37</v>
      </c>
      <c r="Q95" s="70"/>
      <c r="R95" s="71"/>
      <c r="S95" s="65"/>
      <c r="T95" s="381"/>
      <c r="U95" s="381"/>
      <c r="V95" s="381"/>
    </row>
    <row r="96" spans="1:22" ht="15" hidden="1" x14ac:dyDescent="0.25">
      <c r="A96" s="383"/>
      <c r="B96" s="377"/>
      <c r="C96" s="64"/>
      <c r="D96" s="379"/>
      <c r="E96" s="384"/>
      <c r="F96" s="68" t="str">
        <f>F16</f>
        <v>норматив на 2026 год :</v>
      </c>
      <c r="G96" s="364">
        <v>8760</v>
      </c>
      <c r="H96" s="65" t="s">
        <v>375</v>
      </c>
      <c r="I96" s="364">
        <f>I95*1.0457</f>
        <v>18.737754140425423</v>
      </c>
      <c r="J96" s="67" t="str">
        <f>J93</f>
        <v>руб. цена одного часа</v>
      </c>
      <c r="K96" s="364">
        <f t="shared" si="32"/>
        <v>164142.7262701267</v>
      </c>
      <c r="L96" s="67" t="s">
        <v>41</v>
      </c>
      <c r="M96" s="364">
        <f t="shared" si="33"/>
        <v>164143</v>
      </c>
      <c r="N96" s="71" t="s">
        <v>37</v>
      </c>
      <c r="O96" s="70">
        <f t="shared" si="34"/>
        <v>164200</v>
      </c>
      <c r="P96" s="71" t="s">
        <v>37</v>
      </c>
      <c r="Q96" s="70"/>
      <c r="R96" s="71"/>
      <c r="S96" s="65"/>
      <c r="T96" s="382"/>
      <c r="U96" s="382"/>
      <c r="V96" s="382"/>
    </row>
    <row r="97" spans="1:23" ht="15" x14ac:dyDescent="0.25">
      <c r="A97" s="383" t="s">
        <v>406</v>
      </c>
      <c r="B97" s="376" t="s">
        <v>440</v>
      </c>
      <c r="C97" s="64"/>
      <c r="D97" s="378">
        <v>227</v>
      </c>
      <c r="E97" s="378">
        <v>244</v>
      </c>
      <c r="F97" s="380" t="s">
        <v>257</v>
      </c>
      <c r="G97" s="380"/>
      <c r="H97" s="380"/>
      <c r="I97" s="380"/>
      <c r="J97" s="380"/>
      <c r="K97" s="380"/>
      <c r="L97" s="380"/>
      <c r="M97" s="380"/>
      <c r="N97" s="380"/>
      <c r="O97" s="380"/>
      <c r="P97" s="380"/>
      <c r="Q97" s="380"/>
      <c r="R97" s="380"/>
      <c r="S97" s="65"/>
      <c r="T97" s="381">
        <f>O99</f>
        <v>14700</v>
      </c>
      <c r="U97" s="381">
        <f>O100</f>
        <v>15400</v>
      </c>
      <c r="V97" s="381">
        <f>O101</f>
        <v>16100</v>
      </c>
    </row>
    <row r="98" spans="1:23" ht="15" outlineLevel="1" x14ac:dyDescent="0.25">
      <c r="A98" s="383"/>
      <c r="B98" s="377"/>
      <c r="C98" s="64"/>
      <c r="D98" s="379"/>
      <c r="E98" s="384"/>
      <c r="F98" s="61"/>
      <c r="G98" s="364">
        <v>1</v>
      </c>
      <c r="H98" s="65"/>
      <c r="I98" s="364"/>
      <c r="J98" s="67"/>
      <c r="K98" s="364"/>
      <c r="L98" s="67"/>
      <c r="M98" s="67"/>
      <c r="N98" s="67"/>
      <c r="O98" s="67"/>
      <c r="P98" s="67"/>
      <c r="Q98" s="67"/>
      <c r="R98" s="65"/>
      <c r="S98" s="65"/>
      <c r="T98" s="381"/>
      <c r="U98" s="381"/>
      <c r="V98" s="381"/>
    </row>
    <row r="99" spans="1:23" ht="6" customHeight="1" x14ac:dyDescent="0.25">
      <c r="A99" s="383"/>
      <c r="B99" s="377"/>
      <c r="C99" s="64"/>
      <c r="D99" s="379"/>
      <c r="E99" s="384"/>
      <c r="F99" s="68" t="str">
        <f>F14</f>
        <v>норматив на 2024 год :</v>
      </c>
      <c r="G99" s="364">
        <v>1</v>
      </c>
      <c r="H99" s="65" t="s">
        <v>376</v>
      </c>
      <c r="I99" s="364">
        <f>13975.9*1.0487</f>
        <v>14656.526329999999</v>
      </c>
      <c r="J99" s="67" t="s">
        <v>41</v>
      </c>
      <c r="K99" s="364">
        <f>I99*G99</f>
        <v>14656.526329999999</v>
      </c>
      <c r="L99" s="67" t="s">
        <v>41</v>
      </c>
      <c r="M99" s="70">
        <f>ROUNDUP((K99),0)</f>
        <v>14657</v>
      </c>
      <c r="N99" s="71" t="s">
        <v>37</v>
      </c>
      <c r="O99" s="70">
        <f>ROUNDUP((M99),-2)</f>
        <v>14700</v>
      </c>
      <c r="P99" s="71" t="s">
        <v>37</v>
      </c>
      <c r="Q99" s="359"/>
      <c r="R99" s="359"/>
      <c r="S99" s="65"/>
      <c r="T99" s="381"/>
      <c r="U99" s="381"/>
      <c r="V99" s="381"/>
    </row>
    <row r="100" spans="1:23" ht="15" hidden="1" x14ac:dyDescent="0.25">
      <c r="A100" s="383"/>
      <c r="B100" s="377"/>
      <c r="C100" s="64"/>
      <c r="D100" s="379"/>
      <c r="E100" s="384"/>
      <c r="F100" s="68" t="str">
        <f>F15</f>
        <v>норматив на 2025 год :</v>
      </c>
      <c r="G100" s="364">
        <v>1</v>
      </c>
      <c r="H100" s="65" t="s">
        <v>376</v>
      </c>
      <c r="I100" s="364">
        <f>I99*1.0457</f>
        <v>15326.329583281</v>
      </c>
      <c r="J100" s="67" t="s">
        <v>41</v>
      </c>
      <c r="K100" s="364">
        <f t="shared" ref="K100:K101" si="35">I100*G100</f>
        <v>15326.329583281</v>
      </c>
      <c r="L100" s="67" t="s">
        <v>41</v>
      </c>
      <c r="M100" s="70">
        <f t="shared" ref="M100:M101" si="36">ROUNDUP((K100),0)</f>
        <v>15327</v>
      </c>
      <c r="N100" s="71" t="s">
        <v>37</v>
      </c>
      <c r="O100" s="70">
        <f t="shared" ref="O100:O101" si="37">ROUNDUP((M100),-2)</f>
        <v>15400</v>
      </c>
      <c r="P100" s="71" t="s">
        <v>37</v>
      </c>
      <c r="Q100" s="359"/>
      <c r="R100" s="359"/>
      <c r="S100" s="65"/>
      <c r="T100" s="381"/>
      <c r="U100" s="381"/>
      <c r="V100" s="381"/>
    </row>
    <row r="101" spans="1:23" s="95" customFormat="1" ht="15" hidden="1" x14ac:dyDescent="0.25">
      <c r="A101" s="383"/>
      <c r="B101" s="377"/>
      <c r="C101" s="64"/>
      <c r="D101" s="379"/>
      <c r="E101" s="384"/>
      <c r="F101" s="68" t="str">
        <f>F16</f>
        <v>норматив на 2026 год :</v>
      </c>
      <c r="G101" s="364">
        <v>1</v>
      </c>
      <c r="H101" s="65" t="s">
        <v>376</v>
      </c>
      <c r="I101" s="364">
        <f>I100*1.0457</f>
        <v>16026.742845236942</v>
      </c>
      <c r="J101" s="67" t="s">
        <v>41</v>
      </c>
      <c r="K101" s="364">
        <f t="shared" si="35"/>
        <v>16026.742845236942</v>
      </c>
      <c r="L101" s="67" t="s">
        <v>41</v>
      </c>
      <c r="M101" s="70">
        <f t="shared" si="36"/>
        <v>16027</v>
      </c>
      <c r="N101" s="71" t="s">
        <v>37</v>
      </c>
      <c r="O101" s="70">
        <f t="shared" si="37"/>
        <v>16100</v>
      </c>
      <c r="P101" s="71" t="s">
        <v>37</v>
      </c>
      <c r="Q101" s="70"/>
      <c r="R101" s="71"/>
      <c r="S101" s="65"/>
      <c r="T101" s="382"/>
      <c r="U101" s="382"/>
      <c r="V101" s="382"/>
      <c r="W101" s="94"/>
    </row>
    <row r="102" spans="1:23" ht="15" x14ac:dyDescent="0.25">
      <c r="A102" s="383" t="s">
        <v>414</v>
      </c>
      <c r="B102" s="376" t="s">
        <v>441</v>
      </c>
      <c r="C102" s="64"/>
      <c r="D102" s="378">
        <v>226</v>
      </c>
      <c r="E102" s="378">
        <v>244</v>
      </c>
      <c r="F102" s="380" t="s">
        <v>249</v>
      </c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65"/>
      <c r="T102" s="381">
        <f>O104</f>
        <v>240200</v>
      </c>
      <c r="U102" s="381">
        <f>O105</f>
        <v>251200</v>
      </c>
      <c r="V102" s="381">
        <f>O106</f>
        <v>262600</v>
      </c>
    </row>
    <row r="103" spans="1:23" ht="9" customHeight="1" outlineLevel="1" x14ac:dyDescent="0.25">
      <c r="A103" s="437"/>
      <c r="B103" s="377"/>
      <c r="C103" s="64"/>
      <c r="D103" s="379"/>
      <c r="E103" s="384"/>
      <c r="F103" s="61">
        <v>2022</v>
      </c>
      <c r="G103" s="364">
        <v>46</v>
      </c>
      <c r="H103" s="67" t="s">
        <v>60</v>
      </c>
      <c r="I103" s="364">
        <v>4600</v>
      </c>
      <c r="J103" s="67" t="s">
        <v>41</v>
      </c>
      <c r="K103" s="364">
        <f>ROUND((G103*I103),2)</f>
        <v>211600</v>
      </c>
      <c r="L103" s="67" t="s">
        <v>37</v>
      </c>
      <c r="M103" s="67"/>
      <c r="N103" s="67"/>
      <c r="O103" s="70">
        <f t="shared" ref="O103" si="38">ROUNDUP((M103),-1)</f>
        <v>0</v>
      </c>
      <c r="P103" s="67"/>
      <c r="Q103" s="67"/>
      <c r="R103" s="65"/>
      <c r="S103" s="65"/>
      <c r="T103" s="381"/>
      <c r="U103" s="381"/>
      <c r="V103" s="381"/>
    </row>
    <row r="104" spans="1:23" ht="7.5" customHeight="1" x14ac:dyDescent="0.25">
      <c r="A104" s="437"/>
      <c r="B104" s="377"/>
      <c r="C104" s="64"/>
      <c r="D104" s="379"/>
      <c r="E104" s="384"/>
      <c r="F104" s="68" t="str">
        <f>F19</f>
        <v>норматив на 2024 год :</v>
      </c>
      <c r="G104" s="364">
        <v>46</v>
      </c>
      <c r="H104" s="67" t="s">
        <v>333</v>
      </c>
      <c r="I104" s="364">
        <f>I103*1.0822*1.0487</f>
        <v>5220.5544439999994</v>
      </c>
      <c r="J104" s="67" t="s">
        <v>41</v>
      </c>
      <c r="K104" s="364">
        <f>ROUND((G104*I104),2)</f>
        <v>240145.5</v>
      </c>
      <c r="L104" s="67" t="s">
        <v>41</v>
      </c>
      <c r="M104" s="70">
        <f>ROUNDUP((K104),0)</f>
        <v>240146</v>
      </c>
      <c r="N104" s="71" t="s">
        <v>37</v>
      </c>
      <c r="O104" s="70">
        <f>ROUNDUP((M104),-2)</f>
        <v>240200</v>
      </c>
      <c r="P104" s="67" t="s">
        <v>332</v>
      </c>
      <c r="Q104" s="359"/>
      <c r="R104" s="359"/>
      <c r="S104" s="65"/>
      <c r="T104" s="381"/>
      <c r="U104" s="381"/>
      <c r="V104" s="381"/>
    </row>
    <row r="105" spans="1:23" ht="15" hidden="1" x14ac:dyDescent="0.25">
      <c r="A105" s="437"/>
      <c r="B105" s="377"/>
      <c r="C105" s="64"/>
      <c r="D105" s="379"/>
      <c r="E105" s="384"/>
      <c r="F105" s="68" t="str">
        <f>F15</f>
        <v>норматив на 2025 год :</v>
      </c>
      <c r="G105" s="364">
        <f>G104</f>
        <v>46</v>
      </c>
      <c r="H105" s="67" t="s">
        <v>333</v>
      </c>
      <c r="I105" s="364">
        <f>I104*1.0457</f>
        <v>5459.1337820908002</v>
      </c>
      <c r="J105" s="67" t="s">
        <v>41</v>
      </c>
      <c r="K105" s="364">
        <f t="shared" ref="K105:K106" si="39">ROUND((G105*I105),2)</f>
        <v>251120.15</v>
      </c>
      <c r="L105" s="67" t="s">
        <v>41</v>
      </c>
      <c r="M105" s="70">
        <f t="shared" ref="M105:M106" si="40">ROUNDUP((K105),0)</f>
        <v>251121</v>
      </c>
      <c r="N105" s="71" t="s">
        <v>37</v>
      </c>
      <c r="O105" s="70">
        <f t="shared" ref="O105:O106" si="41">ROUNDUP((M105),-2)</f>
        <v>251200</v>
      </c>
      <c r="P105" s="67" t="s">
        <v>332</v>
      </c>
      <c r="Q105" s="359"/>
      <c r="R105" s="359"/>
      <c r="S105" s="65"/>
      <c r="T105" s="381"/>
      <c r="U105" s="381"/>
      <c r="V105" s="381"/>
    </row>
    <row r="106" spans="1:23" ht="15" hidden="1" x14ac:dyDescent="0.25">
      <c r="A106" s="437"/>
      <c r="B106" s="377"/>
      <c r="C106" s="64"/>
      <c r="D106" s="379"/>
      <c r="E106" s="384"/>
      <c r="F106" s="68" t="str">
        <f>F16</f>
        <v>норматив на 2026 год :</v>
      </c>
      <c r="G106" s="364">
        <f>G105</f>
        <v>46</v>
      </c>
      <c r="H106" s="67" t="s">
        <v>333</v>
      </c>
      <c r="I106" s="364">
        <f>I105*1.0457</f>
        <v>5708.6161959323499</v>
      </c>
      <c r="J106" s="67" t="s">
        <v>41</v>
      </c>
      <c r="K106" s="364">
        <f t="shared" si="39"/>
        <v>262596.34999999998</v>
      </c>
      <c r="L106" s="67" t="s">
        <v>41</v>
      </c>
      <c r="M106" s="70">
        <f t="shared" si="40"/>
        <v>262597</v>
      </c>
      <c r="N106" s="71" t="s">
        <v>37</v>
      </c>
      <c r="O106" s="70">
        <f t="shared" si="41"/>
        <v>262600</v>
      </c>
      <c r="P106" s="67" t="s">
        <v>332</v>
      </c>
      <c r="Q106" s="70"/>
      <c r="R106" s="71"/>
      <c r="S106" s="65"/>
      <c r="T106" s="382"/>
      <c r="U106" s="382"/>
      <c r="V106" s="382"/>
    </row>
    <row r="107" spans="1:23" ht="15" x14ac:dyDescent="0.25">
      <c r="A107" s="383" t="s">
        <v>415</v>
      </c>
      <c r="B107" s="376" t="s">
        <v>442</v>
      </c>
      <c r="C107" s="64"/>
      <c r="D107" s="378">
        <v>226</v>
      </c>
      <c r="E107" s="378">
        <v>244</v>
      </c>
      <c r="F107" s="380" t="s">
        <v>249</v>
      </c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380"/>
      <c r="S107" s="65"/>
      <c r="T107" s="381">
        <f>O109</f>
        <v>1161100</v>
      </c>
      <c r="U107" s="381">
        <f>O110</f>
        <v>1214100</v>
      </c>
      <c r="V107" s="381">
        <f>O111</f>
        <v>1269600</v>
      </c>
    </row>
    <row r="108" spans="1:23" ht="15" outlineLevel="1" x14ac:dyDescent="0.25">
      <c r="A108" s="383"/>
      <c r="B108" s="377"/>
      <c r="C108" s="64"/>
      <c r="D108" s="379"/>
      <c r="E108" s="379"/>
      <c r="F108" s="61">
        <v>2022</v>
      </c>
      <c r="G108" s="364">
        <v>30</v>
      </c>
      <c r="H108" s="67" t="s">
        <v>66</v>
      </c>
      <c r="I108" s="364">
        <v>1</v>
      </c>
      <c r="J108" s="67" t="s">
        <v>336</v>
      </c>
      <c r="K108" s="364">
        <v>34100</v>
      </c>
      <c r="L108" s="67" t="s">
        <v>41</v>
      </c>
      <c r="M108" s="364">
        <f>ROUND((G108*I108*K108),2)</f>
        <v>1023000</v>
      </c>
      <c r="N108" s="67" t="s">
        <v>37</v>
      </c>
      <c r="O108" s="70">
        <f>ROUNDUP((M108),-2)</f>
        <v>1023000</v>
      </c>
      <c r="P108" s="67"/>
      <c r="Q108" s="61"/>
      <c r="R108" s="65"/>
      <c r="S108" s="65"/>
      <c r="T108" s="381"/>
      <c r="U108" s="381"/>
      <c r="V108" s="381"/>
    </row>
    <row r="109" spans="1:23" ht="15" hidden="1" x14ac:dyDescent="0.25">
      <c r="A109" s="383"/>
      <c r="B109" s="377"/>
      <c r="C109" s="64"/>
      <c r="D109" s="379"/>
      <c r="E109" s="379"/>
      <c r="F109" s="68" t="str">
        <f>F14</f>
        <v>норматив на 2024 год :</v>
      </c>
      <c r="G109" s="364">
        <f>G108</f>
        <v>30</v>
      </c>
      <c r="H109" s="67" t="s">
        <v>334</v>
      </c>
      <c r="I109" s="69">
        <v>1</v>
      </c>
      <c r="J109" s="67" t="s">
        <v>336</v>
      </c>
      <c r="K109" s="364">
        <f>K108*1.0822*1.0487</f>
        <v>38700.197074000003</v>
      </c>
      <c r="L109" s="67" t="s">
        <v>41</v>
      </c>
      <c r="M109" s="364">
        <f t="shared" ref="M109:M111" si="42">ROUND((G109*I109*K109),2)</f>
        <v>1161005.9099999999</v>
      </c>
      <c r="N109" s="67" t="s">
        <v>37</v>
      </c>
      <c r="O109" s="70">
        <f t="shared" ref="O109:O111" si="43">ROUNDUP((M109),-2)</f>
        <v>1161100</v>
      </c>
      <c r="P109" s="67" t="s">
        <v>332</v>
      </c>
      <c r="Q109" s="359"/>
      <c r="R109" s="359"/>
      <c r="S109" s="65"/>
      <c r="T109" s="382"/>
      <c r="U109" s="382"/>
      <c r="V109" s="382"/>
    </row>
    <row r="110" spans="1:23" ht="15" hidden="1" x14ac:dyDescent="0.25">
      <c r="A110" s="383"/>
      <c r="B110" s="377"/>
      <c r="C110" s="64"/>
      <c r="D110" s="379"/>
      <c r="E110" s="379"/>
      <c r="F110" s="68" t="str">
        <f>F15</f>
        <v>норматив на 2025 год :</v>
      </c>
      <c r="G110" s="364">
        <f>G109</f>
        <v>30</v>
      </c>
      <c r="H110" s="67" t="str">
        <f>H109</f>
        <v xml:space="preserve">чел. х индекс потребительских цен </v>
      </c>
      <c r="I110" s="69">
        <v>1</v>
      </c>
      <c r="J110" s="67" t="s">
        <v>336</v>
      </c>
      <c r="K110" s="364">
        <f>K109*1.0457</f>
        <v>40468.796080281805</v>
      </c>
      <c r="L110" s="67" t="s">
        <v>41</v>
      </c>
      <c r="M110" s="364">
        <f t="shared" si="42"/>
        <v>1214063.8799999999</v>
      </c>
      <c r="N110" s="67" t="s">
        <v>37</v>
      </c>
      <c r="O110" s="70">
        <f t="shared" si="43"/>
        <v>1214100</v>
      </c>
      <c r="P110" s="67" t="s">
        <v>332</v>
      </c>
      <c r="Q110" s="359"/>
      <c r="R110" s="359"/>
      <c r="S110" s="65"/>
      <c r="T110" s="382"/>
      <c r="U110" s="382"/>
      <c r="V110" s="382"/>
    </row>
    <row r="111" spans="1:23" ht="15" hidden="1" x14ac:dyDescent="0.25">
      <c r="A111" s="383"/>
      <c r="B111" s="377"/>
      <c r="C111" s="64"/>
      <c r="D111" s="379"/>
      <c r="E111" s="379"/>
      <c r="F111" s="68" t="str">
        <f>F16</f>
        <v>норматив на 2026 год :</v>
      </c>
      <c r="G111" s="364">
        <f>G110</f>
        <v>30</v>
      </c>
      <c r="H111" s="67" t="str">
        <f>H109</f>
        <v xml:space="preserve">чел. х индекс потребительских цен </v>
      </c>
      <c r="I111" s="69">
        <v>1</v>
      </c>
      <c r="J111" s="67" t="s">
        <v>336</v>
      </c>
      <c r="K111" s="364">
        <f>K110*1.0457</f>
        <v>42318.220061150685</v>
      </c>
      <c r="L111" s="67" t="s">
        <v>41</v>
      </c>
      <c r="M111" s="364">
        <f t="shared" si="42"/>
        <v>1269546.6000000001</v>
      </c>
      <c r="N111" s="67" t="s">
        <v>37</v>
      </c>
      <c r="O111" s="70">
        <f t="shared" si="43"/>
        <v>1269600</v>
      </c>
      <c r="P111" s="67" t="s">
        <v>332</v>
      </c>
      <c r="Q111" s="70"/>
      <c r="R111" s="71"/>
      <c r="S111" s="65"/>
      <c r="T111" s="382"/>
      <c r="U111" s="382"/>
      <c r="V111" s="382"/>
    </row>
    <row r="112" spans="1:23" ht="15" x14ac:dyDescent="0.25">
      <c r="A112" s="383" t="s">
        <v>416</v>
      </c>
      <c r="B112" s="376" t="s">
        <v>443</v>
      </c>
      <c r="C112" s="64"/>
      <c r="D112" s="378">
        <v>226</v>
      </c>
      <c r="E112" s="378">
        <v>244</v>
      </c>
      <c r="F112" s="380" t="s">
        <v>249</v>
      </c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380"/>
      <c r="R112" s="380"/>
      <c r="S112" s="65"/>
      <c r="T112" s="381">
        <f>O114</f>
        <v>5000</v>
      </c>
      <c r="U112" s="381">
        <f>O115</f>
        <v>5200</v>
      </c>
      <c r="V112" s="381">
        <f>O116</f>
        <v>5400</v>
      </c>
    </row>
    <row r="113" spans="1:22" ht="12.75" customHeight="1" outlineLevel="1" x14ac:dyDescent="0.25">
      <c r="A113" s="383"/>
      <c r="B113" s="377"/>
      <c r="C113" s="64"/>
      <c r="D113" s="379"/>
      <c r="E113" s="379"/>
      <c r="F113" s="61">
        <v>2022</v>
      </c>
      <c r="G113" s="364">
        <v>2</v>
      </c>
      <c r="H113" s="67" t="s">
        <v>80</v>
      </c>
      <c r="I113" s="364">
        <v>2160.92</v>
      </c>
      <c r="J113" s="67" t="s">
        <v>41</v>
      </c>
      <c r="K113" s="364">
        <f>I113*G113</f>
        <v>4321.84</v>
      </c>
      <c r="L113" s="67" t="s">
        <v>37</v>
      </c>
      <c r="M113" s="67"/>
      <c r="N113" s="67"/>
      <c r="O113" s="70">
        <f t="shared" ref="O113" si="44">ROUNDUP((M113),-1)</f>
        <v>0</v>
      </c>
      <c r="P113" s="67"/>
      <c r="Q113" s="67"/>
      <c r="R113" s="65"/>
      <c r="S113" s="65"/>
      <c r="T113" s="381"/>
      <c r="U113" s="381"/>
      <c r="V113" s="381"/>
    </row>
    <row r="114" spans="1:22" ht="15" hidden="1" customHeight="1" x14ac:dyDescent="0.25">
      <c r="A114" s="383"/>
      <c r="B114" s="377"/>
      <c r="C114" s="64"/>
      <c r="D114" s="379"/>
      <c r="E114" s="379"/>
      <c r="F114" s="68" t="str">
        <f>F14</f>
        <v>норматив на 2024 год :</v>
      </c>
      <c r="G114" s="364">
        <v>2</v>
      </c>
      <c r="H114" s="67" t="s">
        <v>80</v>
      </c>
      <c r="I114" s="364">
        <f>I113*1.0822*1.0487</f>
        <v>2452.4348932888001</v>
      </c>
      <c r="J114" s="67" t="s">
        <v>41</v>
      </c>
      <c r="K114" s="364">
        <f t="shared" ref="K114:K116" si="45">I114*G114</f>
        <v>4904.8697865776003</v>
      </c>
      <c r="L114" s="67" t="s">
        <v>41</v>
      </c>
      <c r="M114" s="70">
        <f>ROUNDUP((K114),0)</f>
        <v>4905</v>
      </c>
      <c r="N114" s="71" t="s">
        <v>37</v>
      </c>
      <c r="O114" s="70">
        <f>ROUNDUP((M114),-2)</f>
        <v>5000</v>
      </c>
      <c r="P114" s="71" t="s">
        <v>37</v>
      </c>
      <c r="Q114" s="70"/>
      <c r="R114" s="359"/>
      <c r="S114" s="65"/>
      <c r="T114" s="382"/>
      <c r="U114" s="382"/>
      <c r="V114" s="382"/>
    </row>
    <row r="115" spans="1:22" ht="15" hidden="1" x14ac:dyDescent="0.25">
      <c r="A115" s="383"/>
      <c r="B115" s="377"/>
      <c r="C115" s="64"/>
      <c r="D115" s="379"/>
      <c r="E115" s="379"/>
      <c r="F115" s="68" t="str">
        <f>F15</f>
        <v>норматив на 2025 год :</v>
      </c>
      <c r="G115" s="364">
        <v>2</v>
      </c>
      <c r="H115" s="67" t="s">
        <v>80</v>
      </c>
      <c r="I115" s="364">
        <f>I114*1.0457</f>
        <v>2564.5111679120987</v>
      </c>
      <c r="J115" s="67" t="s">
        <v>41</v>
      </c>
      <c r="K115" s="364">
        <f t="shared" si="45"/>
        <v>5129.0223358241974</v>
      </c>
      <c r="L115" s="67" t="s">
        <v>41</v>
      </c>
      <c r="M115" s="70">
        <f t="shared" ref="M115:M116" si="46">ROUNDUP((K115),0)</f>
        <v>5130</v>
      </c>
      <c r="N115" s="71" t="s">
        <v>37</v>
      </c>
      <c r="O115" s="70">
        <f t="shared" ref="O115:O116" si="47">ROUNDUP((M115),-2)</f>
        <v>5200</v>
      </c>
      <c r="P115" s="71" t="s">
        <v>37</v>
      </c>
      <c r="Q115" s="70"/>
      <c r="R115" s="359"/>
      <c r="S115" s="65"/>
      <c r="T115" s="382"/>
      <c r="U115" s="382"/>
      <c r="V115" s="382"/>
    </row>
    <row r="116" spans="1:22" ht="15" hidden="1" x14ac:dyDescent="0.25">
      <c r="A116" s="383"/>
      <c r="B116" s="377"/>
      <c r="C116" s="64"/>
      <c r="D116" s="379"/>
      <c r="E116" s="379"/>
      <c r="F116" s="68" t="str">
        <f>F16</f>
        <v>норматив на 2026 год :</v>
      </c>
      <c r="G116" s="364">
        <v>2</v>
      </c>
      <c r="H116" s="67" t="s">
        <v>80</v>
      </c>
      <c r="I116" s="364">
        <f>I115*1.0457</f>
        <v>2681.7093282856817</v>
      </c>
      <c r="J116" s="67" t="s">
        <v>41</v>
      </c>
      <c r="K116" s="364">
        <f t="shared" si="45"/>
        <v>5363.4186565713635</v>
      </c>
      <c r="L116" s="67" t="s">
        <v>41</v>
      </c>
      <c r="M116" s="70">
        <f t="shared" si="46"/>
        <v>5364</v>
      </c>
      <c r="N116" s="71" t="s">
        <v>37</v>
      </c>
      <c r="O116" s="70">
        <f t="shared" si="47"/>
        <v>5400</v>
      </c>
      <c r="P116" s="71" t="s">
        <v>37</v>
      </c>
      <c r="Q116" s="70"/>
      <c r="R116" s="71"/>
      <c r="S116" s="65"/>
      <c r="T116" s="382"/>
      <c r="U116" s="382"/>
      <c r="V116" s="382"/>
    </row>
    <row r="117" spans="1:22" ht="15" x14ac:dyDescent="0.25">
      <c r="A117" s="388" t="s">
        <v>417</v>
      </c>
      <c r="B117" s="391" t="s">
        <v>444</v>
      </c>
      <c r="C117" s="64"/>
      <c r="D117" s="394">
        <v>226</v>
      </c>
      <c r="E117" s="394">
        <v>244</v>
      </c>
      <c r="F117" s="380" t="s">
        <v>358</v>
      </c>
      <c r="G117" s="380"/>
      <c r="H117" s="380"/>
      <c r="I117" s="380"/>
      <c r="J117" s="380"/>
      <c r="K117" s="380"/>
      <c r="L117" s="380"/>
      <c r="M117" s="380"/>
      <c r="N117" s="380"/>
      <c r="O117" s="380"/>
      <c r="P117" s="380"/>
      <c r="Q117" s="380"/>
      <c r="R117" s="380"/>
      <c r="S117" s="65"/>
      <c r="T117" s="385">
        <f>O119</f>
        <v>2454000</v>
      </c>
      <c r="U117" s="385">
        <f>O120</f>
        <v>2566200</v>
      </c>
      <c r="V117" s="385">
        <f>O121</f>
        <v>2683400</v>
      </c>
    </row>
    <row r="118" spans="1:22" ht="11.25" customHeight="1" x14ac:dyDescent="0.25">
      <c r="A118" s="389"/>
      <c r="B118" s="392"/>
      <c r="C118" s="64"/>
      <c r="D118" s="395"/>
      <c r="E118" s="395"/>
      <c r="F118" s="61"/>
      <c r="G118" s="364">
        <v>3000</v>
      </c>
      <c r="H118" s="67" t="s">
        <v>195</v>
      </c>
      <c r="I118" s="364"/>
      <c r="J118" s="67" t="s">
        <v>41</v>
      </c>
      <c r="K118" s="69"/>
      <c r="L118" s="67" t="s">
        <v>37</v>
      </c>
      <c r="M118" s="364"/>
      <c r="N118" s="67"/>
      <c r="O118" s="70">
        <f t="shared" ref="O118" si="48">ROUNDUP((M118),-1)</f>
        <v>0</v>
      </c>
      <c r="P118" s="71"/>
      <c r="Q118" s="359"/>
      <c r="R118" s="359"/>
      <c r="S118" s="65"/>
      <c r="T118" s="386"/>
      <c r="U118" s="386"/>
      <c r="V118" s="386"/>
    </row>
    <row r="119" spans="1:22" ht="3.75" customHeight="1" x14ac:dyDescent="0.25">
      <c r="A119" s="389"/>
      <c r="B119" s="392"/>
      <c r="C119" s="64"/>
      <c r="D119" s="395"/>
      <c r="E119" s="395"/>
      <c r="F119" s="68" t="str">
        <f>F14</f>
        <v>норматив на 2024 год :</v>
      </c>
      <c r="G119" s="364">
        <v>3000</v>
      </c>
      <c r="H119" s="67" t="s">
        <v>195</v>
      </c>
      <c r="I119" s="364">
        <f>780*1.0487</f>
        <v>817.98599999999999</v>
      </c>
      <c r="J119" s="67" t="s">
        <v>41</v>
      </c>
      <c r="K119" s="364">
        <f t="shared" ref="K119:K121" si="49">I119*G119</f>
        <v>2453958</v>
      </c>
      <c r="L119" s="67" t="s">
        <v>37</v>
      </c>
      <c r="M119" s="70">
        <f>ROUNDUP((K119),0)</f>
        <v>2453958</v>
      </c>
      <c r="N119" s="71" t="s">
        <v>37</v>
      </c>
      <c r="O119" s="70">
        <f>ROUNDUP((M119),-2)</f>
        <v>2454000</v>
      </c>
      <c r="P119" s="71" t="s">
        <v>37</v>
      </c>
      <c r="Q119" s="70"/>
      <c r="R119" s="359"/>
      <c r="S119" s="65"/>
      <c r="T119" s="386"/>
      <c r="U119" s="386"/>
      <c r="V119" s="386"/>
    </row>
    <row r="120" spans="1:22" ht="15" hidden="1" x14ac:dyDescent="0.25">
      <c r="A120" s="389"/>
      <c r="B120" s="392"/>
      <c r="C120" s="64"/>
      <c r="D120" s="395"/>
      <c r="E120" s="395"/>
      <c r="F120" s="68" t="str">
        <f>F15</f>
        <v>норматив на 2025 год :</v>
      </c>
      <c r="G120" s="364">
        <v>3000</v>
      </c>
      <c r="H120" s="67" t="s">
        <v>195</v>
      </c>
      <c r="I120" s="364">
        <f>I119*1.0457</f>
        <v>855.36796020000008</v>
      </c>
      <c r="J120" s="67" t="s">
        <v>41</v>
      </c>
      <c r="K120" s="364">
        <f t="shared" si="49"/>
        <v>2566103.8806000003</v>
      </c>
      <c r="L120" s="67" t="s">
        <v>37</v>
      </c>
      <c r="M120" s="70">
        <f t="shared" ref="M120:M121" si="50">ROUNDUP((K120),0)</f>
        <v>2566104</v>
      </c>
      <c r="N120" s="71" t="s">
        <v>37</v>
      </c>
      <c r="O120" s="70">
        <f t="shared" ref="O120:O121" si="51">ROUNDUP((M120),-2)</f>
        <v>2566200</v>
      </c>
      <c r="P120" s="71" t="s">
        <v>37</v>
      </c>
      <c r="Q120" s="70"/>
      <c r="R120" s="359"/>
      <c r="S120" s="65"/>
      <c r="T120" s="386"/>
      <c r="U120" s="386"/>
      <c r="V120" s="386"/>
    </row>
    <row r="121" spans="1:22" ht="15" hidden="1" x14ac:dyDescent="0.25">
      <c r="A121" s="390"/>
      <c r="B121" s="393"/>
      <c r="C121" s="64"/>
      <c r="D121" s="396"/>
      <c r="E121" s="396"/>
      <c r="F121" s="68" t="str">
        <f>F16</f>
        <v>норматив на 2026 год :</v>
      </c>
      <c r="G121" s="364">
        <v>3000</v>
      </c>
      <c r="H121" s="67" t="s">
        <v>195</v>
      </c>
      <c r="I121" s="364">
        <f>I120*1.0457</f>
        <v>894.4582759811401</v>
      </c>
      <c r="J121" s="67" t="s">
        <v>41</v>
      </c>
      <c r="K121" s="364">
        <f t="shared" si="49"/>
        <v>2683374.8279434205</v>
      </c>
      <c r="L121" s="67" t="s">
        <v>37</v>
      </c>
      <c r="M121" s="70">
        <f t="shared" si="50"/>
        <v>2683375</v>
      </c>
      <c r="N121" s="71" t="s">
        <v>37</v>
      </c>
      <c r="O121" s="70">
        <f t="shared" si="51"/>
        <v>2683400</v>
      </c>
      <c r="P121" s="71" t="s">
        <v>37</v>
      </c>
      <c r="Q121" s="70"/>
      <c r="R121" s="71"/>
      <c r="S121" s="65"/>
      <c r="T121" s="387"/>
      <c r="U121" s="387"/>
      <c r="V121" s="387"/>
    </row>
    <row r="122" spans="1:22" ht="15" x14ac:dyDescent="0.25">
      <c r="A122" s="388" t="s">
        <v>418</v>
      </c>
      <c r="B122" s="391" t="s">
        <v>445</v>
      </c>
      <c r="C122" s="64"/>
      <c r="D122" s="394">
        <v>226</v>
      </c>
      <c r="E122" s="394">
        <v>244</v>
      </c>
      <c r="F122" s="380" t="s">
        <v>249</v>
      </c>
      <c r="G122" s="380"/>
      <c r="H122" s="380"/>
      <c r="I122" s="380"/>
      <c r="J122" s="380"/>
      <c r="K122" s="380"/>
      <c r="L122" s="380"/>
      <c r="M122" s="380"/>
      <c r="N122" s="380"/>
      <c r="O122" s="380"/>
      <c r="P122" s="380"/>
      <c r="Q122" s="380"/>
      <c r="R122" s="380"/>
      <c r="S122" s="65"/>
      <c r="T122" s="385">
        <f>O124</f>
        <v>77400</v>
      </c>
      <c r="U122" s="385">
        <f>O125</f>
        <v>80900</v>
      </c>
      <c r="V122" s="385">
        <f>O126</f>
        <v>84600</v>
      </c>
    </row>
    <row r="123" spans="1:22" ht="15" x14ac:dyDescent="0.25">
      <c r="A123" s="389"/>
      <c r="B123" s="392"/>
      <c r="C123" s="64"/>
      <c r="D123" s="395"/>
      <c r="E123" s="395"/>
      <c r="F123" s="61">
        <v>2022</v>
      </c>
      <c r="G123" s="364">
        <v>1</v>
      </c>
      <c r="H123" s="67" t="s">
        <v>231</v>
      </c>
      <c r="I123" s="364">
        <f>ROUNDUP((68166.67/G123),2)</f>
        <v>68166.67</v>
      </c>
      <c r="J123" s="67" t="s">
        <v>41</v>
      </c>
      <c r="K123" s="364">
        <f t="shared" ref="K123:K126" si="52">I123*G123</f>
        <v>68166.67</v>
      </c>
      <c r="L123" s="67" t="s">
        <v>37</v>
      </c>
      <c r="M123" s="67"/>
      <c r="N123" s="67"/>
      <c r="O123" s="70">
        <f t="shared" ref="O123" si="53">ROUNDUP((M123),-1)</f>
        <v>0</v>
      </c>
      <c r="P123" s="67"/>
      <c r="Q123" s="67"/>
      <c r="R123" s="65"/>
      <c r="S123" s="65"/>
      <c r="T123" s="386"/>
      <c r="U123" s="386"/>
      <c r="V123" s="386"/>
    </row>
    <row r="124" spans="1:22" ht="1.5" customHeight="1" x14ac:dyDescent="0.25">
      <c r="A124" s="389"/>
      <c r="B124" s="392"/>
      <c r="C124" s="64"/>
      <c r="D124" s="395"/>
      <c r="E124" s="395"/>
      <c r="F124" s="68" t="str">
        <f>F14</f>
        <v>норматив на 2024 год :</v>
      </c>
      <c r="G124" s="364">
        <v>1</v>
      </c>
      <c r="H124" s="65" t="s">
        <v>271</v>
      </c>
      <c r="I124" s="364">
        <f>I123*1.0822*1.0487</f>
        <v>77362.567826343802</v>
      </c>
      <c r="J124" s="67" t="s">
        <v>41</v>
      </c>
      <c r="K124" s="364">
        <f t="shared" si="52"/>
        <v>77362.567826343802</v>
      </c>
      <c r="L124" s="67" t="s">
        <v>41</v>
      </c>
      <c r="M124" s="70">
        <f>ROUNDUP((K124),0)</f>
        <v>77363</v>
      </c>
      <c r="N124" s="71" t="s">
        <v>37</v>
      </c>
      <c r="O124" s="70">
        <f>ROUNDUP((M124),-2)</f>
        <v>77400</v>
      </c>
      <c r="P124" s="67" t="s">
        <v>332</v>
      </c>
      <c r="Q124" s="359"/>
      <c r="R124" s="359"/>
      <c r="S124" s="65"/>
      <c r="T124" s="386"/>
      <c r="U124" s="386"/>
      <c r="V124" s="386"/>
    </row>
    <row r="125" spans="1:22" ht="15" hidden="1" x14ac:dyDescent="0.25">
      <c r="A125" s="389"/>
      <c r="B125" s="392"/>
      <c r="C125" s="64"/>
      <c r="D125" s="395"/>
      <c r="E125" s="395"/>
      <c r="F125" s="68" t="str">
        <f>F15</f>
        <v>норматив на 2025 год :</v>
      </c>
      <c r="G125" s="364">
        <v>1</v>
      </c>
      <c r="H125" s="67" t="str">
        <f>H124</f>
        <v>ед. х средняя цена с индексом потребительских цен</v>
      </c>
      <c r="I125" s="364">
        <f>I124*1.0457</f>
        <v>80898.037176007725</v>
      </c>
      <c r="J125" s="67" t="s">
        <v>41</v>
      </c>
      <c r="K125" s="364">
        <f t="shared" si="52"/>
        <v>80898.037176007725</v>
      </c>
      <c r="L125" s="67" t="s">
        <v>41</v>
      </c>
      <c r="M125" s="70">
        <f t="shared" ref="M125:M126" si="54">ROUNDUP((K125),0)</f>
        <v>80899</v>
      </c>
      <c r="N125" s="71" t="s">
        <v>37</v>
      </c>
      <c r="O125" s="70">
        <f t="shared" ref="O125:O126" si="55">ROUNDUP((M125),-2)</f>
        <v>80900</v>
      </c>
      <c r="P125" s="67" t="s">
        <v>332</v>
      </c>
      <c r="Q125" s="359"/>
      <c r="R125" s="359"/>
      <c r="S125" s="65"/>
      <c r="T125" s="386"/>
      <c r="U125" s="386"/>
      <c r="V125" s="386"/>
    </row>
    <row r="126" spans="1:22" ht="15" hidden="1" x14ac:dyDescent="0.25">
      <c r="A126" s="390"/>
      <c r="B126" s="393"/>
      <c r="C126" s="64"/>
      <c r="D126" s="396"/>
      <c r="E126" s="396"/>
      <c r="F126" s="68" t="str">
        <f>F16</f>
        <v>норматив на 2026 год :</v>
      </c>
      <c r="G126" s="364">
        <v>1</v>
      </c>
      <c r="H126" s="67" t="str">
        <f>H124</f>
        <v>ед. х средняя цена с индексом потребительских цен</v>
      </c>
      <c r="I126" s="364">
        <f>I125*1.0457</f>
        <v>84595.077474951278</v>
      </c>
      <c r="J126" s="67" t="s">
        <v>41</v>
      </c>
      <c r="K126" s="364">
        <f t="shared" si="52"/>
        <v>84595.077474951278</v>
      </c>
      <c r="L126" s="67" t="s">
        <v>41</v>
      </c>
      <c r="M126" s="70">
        <f t="shared" si="54"/>
        <v>84596</v>
      </c>
      <c r="N126" s="71" t="s">
        <v>37</v>
      </c>
      <c r="O126" s="70">
        <f t="shared" si="55"/>
        <v>84600</v>
      </c>
      <c r="P126" s="67" t="s">
        <v>332</v>
      </c>
      <c r="Q126" s="359"/>
      <c r="R126" s="359"/>
      <c r="S126" s="65"/>
      <c r="T126" s="387"/>
      <c r="U126" s="387"/>
      <c r="V126" s="387"/>
    </row>
    <row r="127" spans="1:22" ht="15" x14ac:dyDescent="0.25">
      <c r="A127" s="388" t="s">
        <v>419</v>
      </c>
      <c r="B127" s="391" t="s">
        <v>446</v>
      </c>
      <c r="C127" s="64"/>
      <c r="D127" s="394">
        <v>226</v>
      </c>
      <c r="E127" s="394">
        <v>244</v>
      </c>
      <c r="F127" s="380" t="s">
        <v>358</v>
      </c>
      <c r="G127" s="380"/>
      <c r="H127" s="380"/>
      <c r="I127" s="380"/>
      <c r="J127" s="380"/>
      <c r="K127" s="380"/>
      <c r="L127" s="380"/>
      <c r="M127" s="380"/>
      <c r="N127" s="380"/>
      <c r="O127" s="380"/>
      <c r="P127" s="380"/>
      <c r="Q127" s="380"/>
      <c r="R127" s="380"/>
      <c r="S127" s="65"/>
      <c r="T127" s="385">
        <f>O129</f>
        <v>134100</v>
      </c>
      <c r="U127" s="385">
        <f>O130</f>
        <v>140200</v>
      </c>
      <c r="V127" s="385">
        <f>O131</f>
        <v>146600</v>
      </c>
    </row>
    <row r="128" spans="1:22" ht="15" x14ac:dyDescent="0.25">
      <c r="A128" s="389"/>
      <c r="B128" s="392"/>
      <c r="C128" s="64"/>
      <c r="D128" s="395"/>
      <c r="E128" s="395"/>
      <c r="F128" s="61">
        <v>2023</v>
      </c>
      <c r="G128" s="364">
        <v>213</v>
      </c>
      <c r="H128" s="67" t="s">
        <v>231</v>
      </c>
      <c r="I128" s="364"/>
      <c r="J128" s="67" t="s">
        <v>41</v>
      </c>
      <c r="K128" s="364">
        <f t="shared" ref="K128:K131" si="56">I128*G128</f>
        <v>0</v>
      </c>
      <c r="L128" s="67" t="s">
        <v>37</v>
      </c>
      <c r="M128" s="67"/>
      <c r="N128" s="67"/>
      <c r="O128" s="70">
        <f t="shared" ref="O128" si="57">ROUNDUP((M128),-1)</f>
        <v>0</v>
      </c>
      <c r="P128" s="67"/>
      <c r="Q128" s="67"/>
      <c r="R128" s="65"/>
      <c r="S128" s="65"/>
      <c r="T128" s="386"/>
      <c r="U128" s="386"/>
      <c r="V128" s="386"/>
    </row>
    <row r="129" spans="1:23" ht="1.5" customHeight="1" x14ac:dyDescent="0.25">
      <c r="A129" s="389"/>
      <c r="B129" s="392"/>
      <c r="C129" s="64"/>
      <c r="D129" s="395"/>
      <c r="E129" s="395"/>
      <c r="F129" s="68" t="str">
        <f>F14</f>
        <v>норматив на 2024 год :</v>
      </c>
      <c r="G129" s="364">
        <f>G128</f>
        <v>213</v>
      </c>
      <c r="H129" s="65" t="s">
        <v>271</v>
      </c>
      <c r="I129" s="364">
        <f>600*1.0487</f>
        <v>629.22</v>
      </c>
      <c r="J129" s="67" t="s">
        <v>41</v>
      </c>
      <c r="K129" s="364">
        <f t="shared" si="56"/>
        <v>134023.86000000002</v>
      </c>
      <c r="L129" s="67" t="s">
        <v>41</v>
      </c>
      <c r="M129" s="70">
        <f>ROUNDUP((K129),0)</f>
        <v>134024</v>
      </c>
      <c r="N129" s="71" t="s">
        <v>37</v>
      </c>
      <c r="O129" s="70">
        <f>ROUNDUP((M129),-2)</f>
        <v>134100</v>
      </c>
      <c r="P129" s="67" t="s">
        <v>332</v>
      </c>
      <c r="Q129" s="359"/>
      <c r="R129" s="359"/>
      <c r="S129" s="65"/>
      <c r="T129" s="386"/>
      <c r="U129" s="386"/>
      <c r="V129" s="386"/>
    </row>
    <row r="130" spans="1:23" ht="15" hidden="1" x14ac:dyDescent="0.25">
      <c r="A130" s="389"/>
      <c r="B130" s="392"/>
      <c r="C130" s="64"/>
      <c r="D130" s="395"/>
      <c r="E130" s="395"/>
      <c r="F130" s="68" t="str">
        <f>F15</f>
        <v>норматив на 2025 год :</v>
      </c>
      <c r="G130" s="364">
        <f>G128</f>
        <v>213</v>
      </c>
      <c r="H130" s="67" t="str">
        <f>H129</f>
        <v>ед. х средняя цена с индексом потребительских цен</v>
      </c>
      <c r="I130" s="364">
        <f>I129*1.0457</f>
        <v>657.97535400000004</v>
      </c>
      <c r="J130" s="67" t="s">
        <v>41</v>
      </c>
      <c r="K130" s="364">
        <f t="shared" si="56"/>
        <v>140148.75040200001</v>
      </c>
      <c r="L130" s="67" t="s">
        <v>41</v>
      </c>
      <c r="M130" s="70">
        <f t="shared" ref="M130:M131" si="58">ROUNDUP((K130),0)</f>
        <v>140149</v>
      </c>
      <c r="N130" s="71" t="s">
        <v>37</v>
      </c>
      <c r="O130" s="70">
        <f t="shared" ref="O130:O131" si="59">ROUNDUP((M130),-2)</f>
        <v>140200</v>
      </c>
      <c r="P130" s="67" t="s">
        <v>332</v>
      </c>
      <c r="Q130" s="359"/>
      <c r="R130" s="359"/>
      <c r="S130" s="65"/>
      <c r="T130" s="386"/>
      <c r="U130" s="386"/>
      <c r="V130" s="386"/>
    </row>
    <row r="131" spans="1:23" ht="15" hidden="1" x14ac:dyDescent="0.25">
      <c r="A131" s="390"/>
      <c r="B131" s="393"/>
      <c r="C131" s="64"/>
      <c r="D131" s="396"/>
      <c r="E131" s="396"/>
      <c r="F131" s="68" t="str">
        <f>F16</f>
        <v>норматив на 2026 год :</v>
      </c>
      <c r="G131" s="364">
        <f>G128</f>
        <v>213</v>
      </c>
      <c r="H131" s="67" t="str">
        <f>H129</f>
        <v>ед. х средняя цена с индексом потребительских цен</v>
      </c>
      <c r="I131" s="364">
        <f>I130*1.0457</f>
        <v>688.04482767780007</v>
      </c>
      <c r="J131" s="67" t="s">
        <v>41</v>
      </c>
      <c r="K131" s="364">
        <f t="shared" si="56"/>
        <v>146553.54829537141</v>
      </c>
      <c r="L131" s="67" t="s">
        <v>41</v>
      </c>
      <c r="M131" s="70">
        <f t="shared" si="58"/>
        <v>146554</v>
      </c>
      <c r="N131" s="71" t="s">
        <v>37</v>
      </c>
      <c r="O131" s="70">
        <f t="shared" si="59"/>
        <v>146600</v>
      </c>
      <c r="P131" s="67" t="s">
        <v>332</v>
      </c>
      <c r="Q131" s="359"/>
      <c r="R131" s="359"/>
      <c r="S131" s="65"/>
      <c r="T131" s="387"/>
      <c r="U131" s="387"/>
      <c r="V131" s="387"/>
    </row>
    <row r="132" spans="1:23" ht="15" x14ac:dyDescent="0.25">
      <c r="A132" s="388" t="s">
        <v>420</v>
      </c>
      <c r="B132" s="391" t="s">
        <v>447</v>
      </c>
      <c r="C132" s="64"/>
      <c r="D132" s="394">
        <v>226</v>
      </c>
      <c r="E132" s="394">
        <v>244</v>
      </c>
      <c r="F132" s="380" t="s">
        <v>358</v>
      </c>
      <c r="G132" s="380"/>
      <c r="H132" s="380"/>
      <c r="I132" s="380"/>
      <c r="J132" s="380"/>
      <c r="K132" s="380"/>
      <c r="L132" s="380"/>
      <c r="M132" s="380"/>
      <c r="N132" s="380"/>
      <c r="O132" s="380"/>
      <c r="P132" s="380"/>
      <c r="Q132" s="380"/>
      <c r="R132" s="380"/>
      <c r="S132" s="65"/>
      <c r="T132" s="385">
        <f>O134</f>
        <v>149000</v>
      </c>
      <c r="U132" s="385">
        <f>O135</f>
        <v>155800</v>
      </c>
      <c r="V132" s="385">
        <f>O136</f>
        <v>162900</v>
      </c>
    </row>
    <row r="133" spans="1:23" ht="15" x14ac:dyDescent="0.25">
      <c r="A133" s="389"/>
      <c r="B133" s="392"/>
      <c r="C133" s="64"/>
      <c r="D133" s="395"/>
      <c r="E133" s="395"/>
      <c r="F133" s="61">
        <v>2023</v>
      </c>
      <c r="G133" s="364">
        <v>213</v>
      </c>
      <c r="H133" s="67" t="s">
        <v>231</v>
      </c>
      <c r="I133" s="364"/>
      <c r="J133" s="67" t="s">
        <v>41</v>
      </c>
      <c r="K133" s="364">
        <f t="shared" ref="K133:K136" si="60">I133*G133</f>
        <v>0</v>
      </c>
      <c r="L133" s="67" t="s">
        <v>37</v>
      </c>
      <c r="M133" s="67"/>
      <c r="N133" s="67"/>
      <c r="O133" s="70">
        <f t="shared" ref="O133" si="61">ROUNDUP((M133),-1)</f>
        <v>0</v>
      </c>
      <c r="P133" s="67"/>
      <c r="Q133" s="67"/>
      <c r="R133" s="65"/>
      <c r="S133" s="65"/>
      <c r="T133" s="386"/>
      <c r="U133" s="386"/>
      <c r="V133" s="386"/>
    </row>
    <row r="134" spans="1:23" ht="5.25" customHeight="1" x14ac:dyDescent="0.25">
      <c r="A134" s="389"/>
      <c r="B134" s="392"/>
      <c r="C134" s="64"/>
      <c r="D134" s="395"/>
      <c r="E134" s="395"/>
      <c r="F134" s="68" t="str">
        <f>F14</f>
        <v>норматив на 2024 год :</v>
      </c>
      <c r="G134" s="364">
        <f>G133</f>
        <v>213</v>
      </c>
      <c r="H134" s="65" t="s">
        <v>271</v>
      </c>
      <c r="I134" s="364">
        <f>666.67*1.0487</f>
        <v>699.13682899999992</v>
      </c>
      <c r="J134" s="67" t="s">
        <v>41</v>
      </c>
      <c r="K134" s="364">
        <f t="shared" si="60"/>
        <v>148916.14457699997</v>
      </c>
      <c r="L134" s="67" t="s">
        <v>41</v>
      </c>
      <c r="M134" s="70">
        <f>ROUNDUP((K134),0)</f>
        <v>148917</v>
      </c>
      <c r="N134" s="71" t="s">
        <v>37</v>
      </c>
      <c r="O134" s="70">
        <f>ROUNDUP((M134),-2)</f>
        <v>149000</v>
      </c>
      <c r="P134" s="67" t="s">
        <v>332</v>
      </c>
      <c r="Q134" s="359"/>
      <c r="R134" s="359"/>
      <c r="S134" s="65"/>
      <c r="T134" s="386"/>
      <c r="U134" s="386"/>
      <c r="V134" s="386"/>
    </row>
    <row r="135" spans="1:23" ht="15" hidden="1" x14ac:dyDescent="0.25">
      <c r="A135" s="389"/>
      <c r="B135" s="392"/>
      <c r="C135" s="64"/>
      <c r="D135" s="395"/>
      <c r="E135" s="395"/>
      <c r="F135" s="68" t="str">
        <f>F15</f>
        <v>норматив на 2025 год :</v>
      </c>
      <c r="G135" s="364">
        <f>G133</f>
        <v>213</v>
      </c>
      <c r="H135" s="67" t="str">
        <f>H134</f>
        <v>ед. х средняя цена с индексом потребительских цен</v>
      </c>
      <c r="I135" s="364">
        <f>I134*1.0457</f>
        <v>731.08738208529996</v>
      </c>
      <c r="J135" s="67" t="s">
        <v>41</v>
      </c>
      <c r="K135" s="364">
        <f t="shared" si="60"/>
        <v>155721.6123841689</v>
      </c>
      <c r="L135" s="67" t="s">
        <v>41</v>
      </c>
      <c r="M135" s="70">
        <f t="shared" ref="M135:M136" si="62">ROUNDUP((K135),0)</f>
        <v>155722</v>
      </c>
      <c r="N135" s="71" t="s">
        <v>37</v>
      </c>
      <c r="O135" s="70">
        <f t="shared" ref="O135:O136" si="63">ROUNDUP((M135),-2)</f>
        <v>155800</v>
      </c>
      <c r="P135" s="67" t="s">
        <v>332</v>
      </c>
      <c r="Q135" s="359"/>
      <c r="R135" s="359"/>
      <c r="S135" s="65"/>
      <c r="T135" s="386"/>
      <c r="U135" s="386"/>
      <c r="V135" s="386"/>
    </row>
    <row r="136" spans="1:23" ht="15" hidden="1" x14ac:dyDescent="0.25">
      <c r="A136" s="390"/>
      <c r="B136" s="393"/>
      <c r="C136" s="64"/>
      <c r="D136" s="396"/>
      <c r="E136" s="396"/>
      <c r="F136" s="68" t="str">
        <f>F16</f>
        <v>норматив на 2026 год :</v>
      </c>
      <c r="G136" s="364">
        <f>G133</f>
        <v>213</v>
      </c>
      <c r="H136" s="67" t="str">
        <f>H134</f>
        <v>ед. х средняя цена с индексом потребительских цен</v>
      </c>
      <c r="I136" s="364">
        <f>I135*1.0457</f>
        <v>764.49807544659825</v>
      </c>
      <c r="J136" s="67" t="s">
        <v>41</v>
      </c>
      <c r="K136" s="364">
        <f t="shared" si="60"/>
        <v>162838.09007012541</v>
      </c>
      <c r="L136" s="67" t="s">
        <v>41</v>
      </c>
      <c r="M136" s="70">
        <f t="shared" si="62"/>
        <v>162839</v>
      </c>
      <c r="N136" s="71" t="s">
        <v>37</v>
      </c>
      <c r="O136" s="70">
        <f t="shared" si="63"/>
        <v>162900</v>
      </c>
      <c r="P136" s="67" t="s">
        <v>332</v>
      </c>
      <c r="Q136" s="359"/>
      <c r="R136" s="359"/>
      <c r="S136" s="65"/>
      <c r="T136" s="387"/>
      <c r="U136" s="387"/>
      <c r="V136" s="387"/>
    </row>
    <row r="137" spans="1:23" s="95" customFormat="1" ht="33" customHeight="1" x14ac:dyDescent="0.25">
      <c r="A137" s="284" t="s">
        <v>16</v>
      </c>
      <c r="B137" s="361" t="s">
        <v>448</v>
      </c>
      <c r="C137" s="52"/>
      <c r="D137" s="248" t="s">
        <v>35</v>
      </c>
      <c r="E137" s="248" t="s">
        <v>35</v>
      </c>
      <c r="F137" s="423"/>
      <c r="G137" s="424"/>
      <c r="H137" s="424"/>
      <c r="I137" s="424"/>
      <c r="J137" s="424"/>
      <c r="K137" s="424"/>
      <c r="L137" s="424"/>
      <c r="M137" s="424"/>
      <c r="N137" s="424"/>
      <c r="O137" s="424"/>
      <c r="P137" s="424"/>
      <c r="Q137" s="424"/>
      <c r="R137" s="424"/>
      <c r="S137" s="424"/>
      <c r="T137" s="254">
        <f>SUM(T138:T151)</f>
        <v>3840600</v>
      </c>
      <c r="U137" s="254">
        <f t="shared" ref="U137:V137" si="64">SUM(U138:U151)</f>
        <v>4010700</v>
      </c>
      <c r="V137" s="254">
        <f t="shared" si="64"/>
        <v>4186100</v>
      </c>
    </row>
    <row r="138" spans="1:23" s="95" customFormat="1" x14ac:dyDescent="0.25">
      <c r="A138" s="388" t="s">
        <v>17</v>
      </c>
      <c r="B138" s="431" t="s">
        <v>449</v>
      </c>
      <c r="C138" s="64"/>
      <c r="D138" s="394">
        <v>310</v>
      </c>
      <c r="E138" s="394">
        <v>244</v>
      </c>
      <c r="F138" s="434" t="s">
        <v>260</v>
      </c>
      <c r="G138" s="435"/>
      <c r="H138" s="435"/>
      <c r="I138" s="435"/>
      <c r="J138" s="435"/>
      <c r="K138" s="435"/>
      <c r="L138" s="435"/>
      <c r="M138" s="435"/>
      <c r="N138" s="435"/>
      <c r="O138" s="435"/>
      <c r="P138" s="435"/>
      <c r="Q138" s="435"/>
      <c r="R138" s="436"/>
      <c r="S138" s="65"/>
      <c r="T138" s="385">
        <f>Q139</f>
        <v>1314600</v>
      </c>
      <c r="U138" s="385">
        <f>Q140</f>
        <v>1369300</v>
      </c>
      <c r="V138" s="385">
        <f>Q141</f>
        <v>1423900</v>
      </c>
    </row>
    <row r="139" spans="1:23" s="95" customFormat="1" ht="12" customHeight="1" x14ac:dyDescent="0.25">
      <c r="A139" s="389"/>
      <c r="B139" s="432"/>
      <c r="C139" s="64"/>
      <c r="D139" s="395"/>
      <c r="E139" s="395"/>
      <c r="F139" s="68" t="str">
        <f>F14</f>
        <v>норматив на 2024 год :</v>
      </c>
      <c r="G139" s="364">
        <v>49372</v>
      </c>
      <c r="H139" s="67" t="s">
        <v>42</v>
      </c>
      <c r="I139" s="364">
        <v>213</v>
      </c>
      <c r="J139" s="67" t="s">
        <v>45</v>
      </c>
      <c r="K139" s="364">
        <v>8</v>
      </c>
      <c r="L139" s="67" t="s">
        <v>43</v>
      </c>
      <c r="M139" s="364">
        <v>0</v>
      </c>
      <c r="N139" s="67" t="s">
        <v>44</v>
      </c>
      <c r="O139" s="364">
        <f>ROUND((G139*(I139/K139+M139)),2)</f>
        <v>1314529.5</v>
      </c>
      <c r="P139" s="67" t="s">
        <v>332</v>
      </c>
      <c r="Q139" s="70">
        <f>ROUNDUP((O139),-2)</f>
        <v>1314600</v>
      </c>
      <c r="R139" s="71" t="s">
        <v>37</v>
      </c>
      <c r="S139" s="65"/>
      <c r="T139" s="386"/>
      <c r="U139" s="386"/>
      <c r="V139" s="386"/>
      <c r="W139" s="94"/>
    </row>
    <row r="140" spans="1:23" s="95" customFormat="1" ht="15" hidden="1" x14ac:dyDescent="0.25">
      <c r="A140" s="389"/>
      <c r="B140" s="432"/>
      <c r="C140" s="64"/>
      <c r="D140" s="395"/>
      <c r="E140" s="395"/>
      <c r="F140" s="68" t="str">
        <f>F15</f>
        <v>норматив на 2025 год :</v>
      </c>
      <c r="G140" s="364">
        <v>51425.88</v>
      </c>
      <c r="H140" s="67" t="s">
        <v>42</v>
      </c>
      <c r="I140" s="364">
        <v>213</v>
      </c>
      <c r="J140" s="67" t="s">
        <v>45</v>
      </c>
      <c r="K140" s="364">
        <v>8</v>
      </c>
      <c r="L140" s="67" t="s">
        <v>43</v>
      </c>
      <c r="M140" s="364">
        <v>0</v>
      </c>
      <c r="N140" s="67" t="s">
        <v>44</v>
      </c>
      <c r="O140" s="364">
        <f>ROUND((G140*(I140/K140+M140)),2)</f>
        <v>1369214.06</v>
      </c>
      <c r="P140" s="67" t="s">
        <v>332</v>
      </c>
      <c r="Q140" s="70">
        <f>ROUNDUP((O140),-2)</f>
        <v>1369300</v>
      </c>
      <c r="R140" s="71" t="s">
        <v>37</v>
      </c>
      <c r="S140" s="65"/>
      <c r="T140" s="386"/>
      <c r="U140" s="386"/>
      <c r="V140" s="386"/>
      <c r="W140" s="94"/>
    </row>
    <row r="141" spans="1:23" s="95" customFormat="1" ht="15" hidden="1" x14ac:dyDescent="0.25">
      <c r="A141" s="390"/>
      <c r="B141" s="433"/>
      <c r="C141" s="64"/>
      <c r="D141" s="396"/>
      <c r="E141" s="396"/>
      <c r="F141" s="68" t="str">
        <f>F16</f>
        <v>норматив на 2026 год :</v>
      </c>
      <c r="G141" s="364">
        <v>53477.77</v>
      </c>
      <c r="H141" s="67" t="s">
        <v>42</v>
      </c>
      <c r="I141" s="364">
        <v>213</v>
      </c>
      <c r="J141" s="67" t="s">
        <v>45</v>
      </c>
      <c r="K141" s="364">
        <v>8</v>
      </c>
      <c r="L141" s="67" t="s">
        <v>43</v>
      </c>
      <c r="M141" s="364">
        <v>0</v>
      </c>
      <c r="N141" s="67" t="s">
        <v>44</v>
      </c>
      <c r="O141" s="364">
        <f>ROUND((G141*(I141/K141+M141)),2)</f>
        <v>1423845.63</v>
      </c>
      <c r="P141" s="67" t="s">
        <v>332</v>
      </c>
      <c r="Q141" s="70">
        <f>ROUNDUP((O141),-2)</f>
        <v>1423900</v>
      </c>
      <c r="R141" s="71" t="s">
        <v>37</v>
      </c>
      <c r="S141" s="61"/>
      <c r="T141" s="387"/>
      <c r="U141" s="387"/>
      <c r="V141" s="387"/>
    </row>
    <row r="142" spans="1:23" ht="15" x14ac:dyDescent="0.25">
      <c r="A142" s="388" t="s">
        <v>18</v>
      </c>
      <c r="B142" s="391" t="s">
        <v>450</v>
      </c>
      <c r="C142" s="64"/>
      <c r="D142" s="378">
        <v>310</v>
      </c>
      <c r="E142" s="378">
        <v>244</v>
      </c>
      <c r="F142" s="380" t="s">
        <v>249</v>
      </c>
      <c r="G142" s="380"/>
      <c r="H142" s="380"/>
      <c r="I142" s="380"/>
      <c r="J142" s="380"/>
      <c r="K142" s="380"/>
      <c r="L142" s="380"/>
      <c r="M142" s="380"/>
      <c r="N142" s="380"/>
      <c r="O142" s="380"/>
      <c r="P142" s="380"/>
      <c r="Q142" s="380"/>
      <c r="R142" s="380"/>
      <c r="S142" s="65"/>
      <c r="T142" s="381">
        <f>O144</f>
        <v>1671500</v>
      </c>
      <c r="U142" s="381">
        <f>O145</f>
        <v>1747900</v>
      </c>
      <c r="V142" s="381">
        <f>O146</f>
        <v>1827800</v>
      </c>
    </row>
    <row r="143" spans="1:23" ht="15" outlineLevel="1" x14ac:dyDescent="0.25">
      <c r="A143" s="389"/>
      <c r="B143" s="392"/>
      <c r="C143" s="64"/>
      <c r="D143" s="378"/>
      <c r="E143" s="378"/>
      <c r="F143" s="61">
        <v>2022</v>
      </c>
      <c r="G143" s="364">
        <v>30</v>
      </c>
      <c r="H143" s="67" t="s">
        <v>78</v>
      </c>
      <c r="I143" s="364">
        <v>49092.21</v>
      </c>
      <c r="J143" s="67" t="s">
        <v>41</v>
      </c>
      <c r="K143" s="364">
        <f>ROUND((G143*I143),2)</f>
        <v>1472766.3</v>
      </c>
      <c r="L143" s="67" t="s">
        <v>37</v>
      </c>
      <c r="M143" s="70">
        <f>ROUNDUP((K143),0)</f>
        <v>1472767</v>
      </c>
      <c r="N143" s="71" t="s">
        <v>37</v>
      </c>
      <c r="O143" s="70">
        <f>ROUNDUP((M143),-2)</f>
        <v>1472800</v>
      </c>
      <c r="P143" s="67" t="s">
        <v>332</v>
      </c>
      <c r="Q143" s="67"/>
      <c r="R143" s="65"/>
      <c r="S143" s="65"/>
      <c r="T143" s="381"/>
      <c r="U143" s="381"/>
      <c r="V143" s="381"/>
    </row>
    <row r="144" spans="1:23" ht="5.25" customHeight="1" x14ac:dyDescent="0.25">
      <c r="A144" s="389"/>
      <c r="B144" s="429"/>
      <c r="C144" s="64"/>
      <c r="D144" s="379"/>
      <c r="E144" s="379"/>
      <c r="F144" s="68" t="str">
        <f>F14</f>
        <v>норматив на 2024 год :</v>
      </c>
      <c r="G144" s="364">
        <v>30</v>
      </c>
      <c r="H144" s="67" t="s">
        <v>78</v>
      </c>
      <c r="I144" s="69">
        <f>I143*1.0822*1.0487</f>
        <v>55714.903278539394</v>
      </c>
      <c r="J144" s="67" t="s">
        <v>41</v>
      </c>
      <c r="K144" s="364">
        <f>ROUND((G144*I144),2)</f>
        <v>1671447.1</v>
      </c>
      <c r="L144" s="67" t="s">
        <v>41</v>
      </c>
      <c r="M144" s="70">
        <f t="shared" ref="M144:M146" si="65">ROUNDUP((K144),0)</f>
        <v>1671448</v>
      </c>
      <c r="N144" s="71" t="s">
        <v>37</v>
      </c>
      <c r="O144" s="70">
        <f>ROUNDUP((M144),-2)</f>
        <v>1671500</v>
      </c>
      <c r="P144" s="67" t="s">
        <v>332</v>
      </c>
      <c r="Q144" s="67"/>
      <c r="R144" s="65"/>
      <c r="S144" s="65"/>
      <c r="T144" s="381"/>
      <c r="U144" s="381"/>
      <c r="V144" s="381"/>
    </row>
    <row r="145" spans="1:22" ht="15" outlineLevel="1" x14ac:dyDescent="0.25">
      <c r="A145" s="389"/>
      <c r="B145" s="429"/>
      <c r="C145" s="64"/>
      <c r="D145" s="379"/>
      <c r="E145" s="379"/>
      <c r="F145" s="68" t="str">
        <f>F15</f>
        <v>норматив на 2025 год :</v>
      </c>
      <c r="G145" s="364">
        <v>30</v>
      </c>
      <c r="H145" s="67" t="s">
        <v>78</v>
      </c>
      <c r="I145" s="69">
        <f>I144*1.0457</f>
        <v>58261.074358368649</v>
      </c>
      <c r="J145" s="67" t="s">
        <v>41</v>
      </c>
      <c r="K145" s="364">
        <f t="shared" ref="K145:K146" si="66">ROUND((G145*I145),2)</f>
        <v>1747832.23</v>
      </c>
      <c r="L145" s="67" t="s">
        <v>41</v>
      </c>
      <c r="M145" s="70">
        <f t="shared" si="65"/>
        <v>1747833</v>
      </c>
      <c r="N145" s="71" t="s">
        <v>37</v>
      </c>
      <c r="O145" s="70">
        <f>ROUNDUP((M145),-2)</f>
        <v>1747900</v>
      </c>
      <c r="P145" s="67" t="s">
        <v>332</v>
      </c>
      <c r="Q145" s="93"/>
      <c r="R145" s="67"/>
      <c r="S145" s="65"/>
      <c r="T145" s="381"/>
      <c r="U145" s="381"/>
      <c r="V145" s="381"/>
    </row>
    <row r="146" spans="1:22" ht="15" outlineLevel="1" x14ac:dyDescent="0.25">
      <c r="A146" s="390"/>
      <c r="B146" s="430"/>
      <c r="C146" s="64"/>
      <c r="D146" s="379"/>
      <c r="E146" s="379"/>
      <c r="F146" s="68" t="str">
        <f>F16</f>
        <v>норматив на 2026 год :</v>
      </c>
      <c r="G146" s="364">
        <v>30</v>
      </c>
      <c r="H146" s="67" t="s">
        <v>78</v>
      </c>
      <c r="I146" s="69">
        <f>I145*1.0457</f>
        <v>60923.605456546102</v>
      </c>
      <c r="J146" s="67" t="s">
        <v>41</v>
      </c>
      <c r="K146" s="364">
        <f t="shared" si="66"/>
        <v>1827708.16</v>
      </c>
      <c r="L146" s="67" t="s">
        <v>41</v>
      </c>
      <c r="M146" s="70">
        <f t="shared" si="65"/>
        <v>1827709</v>
      </c>
      <c r="N146" s="71" t="s">
        <v>37</v>
      </c>
      <c r="O146" s="70">
        <f>ROUNDUP((M146),-2)</f>
        <v>1827800</v>
      </c>
      <c r="P146" s="67" t="s">
        <v>332</v>
      </c>
      <c r="Q146" s="362"/>
      <c r="R146" s="71"/>
      <c r="S146" s="65"/>
      <c r="T146" s="381"/>
      <c r="U146" s="381"/>
      <c r="V146" s="381"/>
    </row>
    <row r="147" spans="1:22" ht="15" x14ac:dyDescent="0.25">
      <c r="A147" s="426" t="s">
        <v>26</v>
      </c>
      <c r="B147" s="391" t="s">
        <v>351</v>
      </c>
      <c r="C147" s="64"/>
      <c r="D147" s="378">
        <v>310</v>
      </c>
      <c r="E147" s="378">
        <v>244</v>
      </c>
      <c r="F147" s="380" t="s">
        <v>249</v>
      </c>
      <c r="G147" s="380"/>
      <c r="H147" s="380"/>
      <c r="I147" s="380"/>
      <c r="J147" s="380"/>
      <c r="K147" s="380"/>
      <c r="L147" s="380"/>
      <c r="M147" s="380"/>
      <c r="N147" s="380"/>
      <c r="O147" s="380"/>
      <c r="P147" s="380"/>
      <c r="Q147" s="380"/>
      <c r="R147" s="380"/>
      <c r="S147" s="65"/>
      <c r="T147" s="381">
        <f>O149</f>
        <v>854500</v>
      </c>
      <c r="U147" s="381">
        <f>O150</f>
        <v>893500</v>
      </c>
      <c r="V147" s="381">
        <f>O151</f>
        <v>934400</v>
      </c>
    </row>
    <row r="148" spans="1:22" ht="15" outlineLevel="1" x14ac:dyDescent="0.25">
      <c r="A148" s="427"/>
      <c r="B148" s="429"/>
      <c r="C148" s="64"/>
      <c r="D148" s="379"/>
      <c r="E148" s="379"/>
      <c r="F148" s="68">
        <v>2022</v>
      </c>
      <c r="G148" s="364">
        <v>1</v>
      </c>
      <c r="H148" s="67" t="s">
        <v>259</v>
      </c>
      <c r="I148" s="364">
        <v>752874.28</v>
      </c>
      <c r="J148" s="67" t="s">
        <v>41</v>
      </c>
      <c r="K148" s="364">
        <f>ROUND((G148*I148),2)</f>
        <v>752874.28</v>
      </c>
      <c r="L148" s="67" t="s">
        <v>37</v>
      </c>
      <c r="M148" s="70">
        <f>ROUNDUP((K148),0)</f>
        <v>752875</v>
      </c>
      <c r="N148" s="71" t="s">
        <v>37</v>
      </c>
      <c r="O148" s="70">
        <f>ROUNDUP((M148),-2)</f>
        <v>752900</v>
      </c>
      <c r="P148" s="67" t="s">
        <v>332</v>
      </c>
      <c r="Q148" s="67"/>
      <c r="R148" s="65"/>
      <c r="S148" s="65"/>
      <c r="T148" s="381"/>
      <c r="U148" s="381"/>
      <c r="V148" s="381"/>
    </row>
    <row r="149" spans="1:22" ht="15" hidden="1" x14ac:dyDescent="0.25">
      <c r="A149" s="427"/>
      <c r="B149" s="429"/>
      <c r="C149" s="64"/>
      <c r="D149" s="379"/>
      <c r="E149" s="379"/>
      <c r="F149" s="68" t="str">
        <f>F14</f>
        <v>норматив на 2024 год :</v>
      </c>
      <c r="G149" s="364">
        <v>1</v>
      </c>
      <c r="H149" s="67" t="s">
        <v>259</v>
      </c>
      <c r="I149" s="69">
        <f>I148*1.0822*1.0487</f>
        <v>854439.38439723931</v>
      </c>
      <c r="J149" s="67" t="s">
        <v>41</v>
      </c>
      <c r="K149" s="364">
        <f>ROUND((G149*I149),2)</f>
        <v>854439.38</v>
      </c>
      <c r="L149" s="67" t="s">
        <v>41</v>
      </c>
      <c r="M149" s="70">
        <f t="shared" ref="M149:M151" si="67">ROUNDUP((K149),0)</f>
        <v>854440</v>
      </c>
      <c r="N149" s="71" t="s">
        <v>37</v>
      </c>
      <c r="O149" s="70">
        <f>ROUNDUP((M149),-2)</f>
        <v>854500</v>
      </c>
      <c r="P149" s="67" t="s">
        <v>332</v>
      </c>
      <c r="Q149" s="67"/>
      <c r="R149" s="65"/>
      <c r="S149" s="65"/>
      <c r="T149" s="381"/>
      <c r="U149" s="381"/>
      <c r="V149" s="381"/>
    </row>
    <row r="150" spans="1:22" ht="15" outlineLevel="1" x14ac:dyDescent="0.25">
      <c r="A150" s="427"/>
      <c r="B150" s="429"/>
      <c r="C150" s="64"/>
      <c r="D150" s="379"/>
      <c r="E150" s="379"/>
      <c r="F150" s="68" t="str">
        <f>F15</f>
        <v>норматив на 2025 год :</v>
      </c>
      <c r="G150" s="364">
        <v>1</v>
      </c>
      <c r="H150" s="67" t="s">
        <v>259</v>
      </c>
      <c r="I150" s="69">
        <f>I149*1.0457</f>
        <v>893487.26426419325</v>
      </c>
      <c r="J150" s="67" t="s">
        <v>41</v>
      </c>
      <c r="K150" s="364">
        <f t="shared" ref="K150:K151" si="68">ROUND((G150*I150),2)</f>
        <v>893487.26</v>
      </c>
      <c r="L150" s="67" t="s">
        <v>41</v>
      </c>
      <c r="M150" s="70">
        <f t="shared" si="67"/>
        <v>893488</v>
      </c>
      <c r="N150" s="71" t="s">
        <v>37</v>
      </c>
      <c r="O150" s="70">
        <f>ROUNDUP((M150),-2)</f>
        <v>893500</v>
      </c>
      <c r="P150" s="67" t="s">
        <v>332</v>
      </c>
      <c r="Q150" s="93"/>
      <c r="R150" s="67"/>
      <c r="S150" s="65"/>
      <c r="T150" s="381"/>
      <c r="U150" s="381"/>
      <c r="V150" s="381"/>
    </row>
    <row r="151" spans="1:22" ht="15" outlineLevel="1" x14ac:dyDescent="0.25">
      <c r="A151" s="428"/>
      <c r="B151" s="430"/>
      <c r="C151" s="64"/>
      <c r="D151" s="379"/>
      <c r="E151" s="379"/>
      <c r="F151" s="68" t="str">
        <f>F16</f>
        <v>норматив на 2026 год :</v>
      </c>
      <c r="G151" s="364">
        <v>1</v>
      </c>
      <c r="H151" s="67" t="s">
        <v>259</v>
      </c>
      <c r="I151" s="69">
        <f>I150*1.0457</f>
        <v>934319.63224106689</v>
      </c>
      <c r="J151" s="67" t="s">
        <v>41</v>
      </c>
      <c r="K151" s="364">
        <f t="shared" si="68"/>
        <v>934319.63</v>
      </c>
      <c r="L151" s="67" t="s">
        <v>41</v>
      </c>
      <c r="M151" s="70">
        <f t="shared" si="67"/>
        <v>934320</v>
      </c>
      <c r="N151" s="71" t="s">
        <v>37</v>
      </c>
      <c r="O151" s="70">
        <f>ROUNDUP((M151),-2)</f>
        <v>934400</v>
      </c>
      <c r="P151" s="67" t="s">
        <v>332</v>
      </c>
      <c r="Q151" s="362"/>
      <c r="R151" s="71"/>
      <c r="S151" s="65"/>
      <c r="T151" s="381"/>
      <c r="U151" s="381"/>
      <c r="V151" s="381"/>
    </row>
    <row r="152" spans="1:22" ht="33.75" customHeight="1" x14ac:dyDescent="0.25">
      <c r="A152" s="282" t="s">
        <v>19</v>
      </c>
      <c r="B152" s="358" t="s">
        <v>451</v>
      </c>
      <c r="C152" s="52"/>
      <c r="D152" s="363" t="s">
        <v>35</v>
      </c>
      <c r="E152" s="363" t="s">
        <v>35</v>
      </c>
      <c r="F152" s="423"/>
      <c r="G152" s="424"/>
      <c r="H152" s="424"/>
      <c r="I152" s="424"/>
      <c r="J152" s="424"/>
      <c r="K152" s="424"/>
      <c r="L152" s="424"/>
      <c r="M152" s="424"/>
      <c r="N152" s="424"/>
      <c r="O152" s="424"/>
      <c r="P152" s="424"/>
      <c r="Q152" s="424"/>
      <c r="R152" s="424"/>
      <c r="S152" s="424"/>
      <c r="T152" s="255">
        <f>T153+T158+T162+T167+T173+T178+T183+T188+T193+T198+T203</f>
        <v>5925100</v>
      </c>
      <c r="U152" s="255">
        <f t="shared" ref="U152:V152" si="69">U153+U158+U162+U167+U173+U178+U183+U188+U193+U198+U203</f>
        <v>6178700</v>
      </c>
      <c r="V152" s="255">
        <f t="shared" si="69"/>
        <v>6435700</v>
      </c>
    </row>
    <row r="153" spans="1:22" ht="15" x14ac:dyDescent="0.25">
      <c r="A153" s="383" t="s">
        <v>20</v>
      </c>
      <c r="B153" s="376" t="s">
        <v>452</v>
      </c>
      <c r="C153" s="64"/>
      <c r="D153" s="378">
        <v>349</v>
      </c>
      <c r="E153" s="378">
        <v>244</v>
      </c>
      <c r="F153" s="380" t="s">
        <v>249</v>
      </c>
      <c r="G153" s="380"/>
      <c r="H153" s="380"/>
      <c r="I153" s="380"/>
      <c r="J153" s="380"/>
      <c r="K153" s="380"/>
      <c r="L153" s="380"/>
      <c r="M153" s="380"/>
      <c r="N153" s="380"/>
      <c r="O153" s="380"/>
      <c r="P153" s="380"/>
      <c r="Q153" s="380"/>
      <c r="R153" s="380"/>
      <c r="S153" s="65"/>
      <c r="T153" s="381">
        <f>O155</f>
        <v>10000</v>
      </c>
      <c r="U153" s="381">
        <f>O156</f>
        <v>10500</v>
      </c>
      <c r="V153" s="381">
        <f>O157</f>
        <v>11000</v>
      </c>
    </row>
    <row r="154" spans="1:22" ht="15" x14ac:dyDescent="0.25">
      <c r="A154" s="383"/>
      <c r="B154" s="376"/>
      <c r="C154" s="64"/>
      <c r="D154" s="378"/>
      <c r="E154" s="378"/>
      <c r="F154" s="68">
        <v>2022</v>
      </c>
      <c r="G154" s="364">
        <v>20</v>
      </c>
      <c r="H154" s="360"/>
      <c r="I154" s="360">
        <v>440.3</v>
      </c>
      <c r="J154" s="360"/>
      <c r="K154" s="360"/>
      <c r="L154" s="360"/>
      <c r="M154" s="360"/>
      <c r="N154" s="360"/>
      <c r="O154" s="360"/>
      <c r="P154" s="360"/>
      <c r="Q154" s="360"/>
      <c r="R154" s="360"/>
      <c r="S154" s="65"/>
      <c r="T154" s="381"/>
      <c r="U154" s="381"/>
      <c r="V154" s="381"/>
    </row>
    <row r="155" spans="1:22" ht="1.5" customHeight="1" x14ac:dyDescent="0.25">
      <c r="A155" s="383"/>
      <c r="B155" s="377"/>
      <c r="C155" s="64"/>
      <c r="D155" s="379"/>
      <c r="E155" s="379"/>
      <c r="F155" s="68">
        <f>F10</f>
        <v>0</v>
      </c>
      <c r="G155" s="364">
        <f>G154</f>
        <v>20</v>
      </c>
      <c r="H155" s="67" t="s">
        <v>48</v>
      </c>
      <c r="I155" s="69">
        <f>I154*1.0822*1.0487</f>
        <v>499.69785254200002</v>
      </c>
      <c r="J155" s="67" t="s">
        <v>41</v>
      </c>
      <c r="K155" s="364">
        <f>ROUND((G155*I155),2)</f>
        <v>9993.9599999999991</v>
      </c>
      <c r="L155" s="67" t="s">
        <v>41</v>
      </c>
      <c r="M155" s="70">
        <f>ROUNDDOWN((K155),0)</f>
        <v>9993</v>
      </c>
      <c r="N155" s="71" t="s">
        <v>37</v>
      </c>
      <c r="O155" s="70">
        <f>ROUNDUP((M155),-2)</f>
        <v>10000</v>
      </c>
      <c r="P155" s="67" t="s">
        <v>332</v>
      </c>
      <c r="Q155" s="67"/>
      <c r="R155" s="65"/>
      <c r="S155" s="65"/>
      <c r="T155" s="381"/>
      <c r="U155" s="381"/>
      <c r="V155" s="381"/>
    </row>
    <row r="156" spans="1:22" ht="15" hidden="1" x14ac:dyDescent="0.25">
      <c r="A156" s="383"/>
      <c r="B156" s="377"/>
      <c r="C156" s="64"/>
      <c r="D156" s="379"/>
      <c r="E156" s="379"/>
      <c r="F156" s="68">
        <f>F11</f>
        <v>0</v>
      </c>
      <c r="G156" s="364">
        <f>G154</f>
        <v>20</v>
      </c>
      <c r="H156" s="67" t="s">
        <v>48</v>
      </c>
      <c r="I156" s="69">
        <f>I155*1.0457</f>
        <v>522.53404440316945</v>
      </c>
      <c r="J156" s="67" t="s">
        <v>41</v>
      </c>
      <c r="K156" s="364">
        <f t="shared" ref="K156:K157" si="70">ROUND((G156*I156),2)</f>
        <v>10450.68</v>
      </c>
      <c r="L156" s="67" t="s">
        <v>41</v>
      </c>
      <c r="M156" s="70">
        <f t="shared" ref="M156:M157" si="71">ROUNDDOWN((K156),0)</f>
        <v>10450</v>
      </c>
      <c r="N156" s="71" t="s">
        <v>37</v>
      </c>
      <c r="O156" s="70">
        <f t="shared" ref="O156:O157" si="72">ROUNDUP((M156),-2)</f>
        <v>10500</v>
      </c>
      <c r="P156" s="67" t="s">
        <v>332</v>
      </c>
      <c r="Q156" s="67"/>
      <c r="R156" s="65"/>
      <c r="S156" s="65"/>
      <c r="T156" s="381"/>
      <c r="U156" s="381"/>
      <c r="V156" s="381"/>
    </row>
    <row r="157" spans="1:22" ht="15" hidden="1" x14ac:dyDescent="0.25">
      <c r="A157" s="383"/>
      <c r="B157" s="377"/>
      <c r="C157" s="64"/>
      <c r="D157" s="379"/>
      <c r="E157" s="379"/>
      <c r="F157" s="68">
        <f>F12</f>
        <v>0</v>
      </c>
      <c r="G157" s="364">
        <f>G154</f>
        <v>20</v>
      </c>
      <c r="H157" s="67" t="s">
        <v>48</v>
      </c>
      <c r="I157" s="69">
        <f>I156*1.0457</f>
        <v>546.41385023239434</v>
      </c>
      <c r="J157" s="67" t="s">
        <v>41</v>
      </c>
      <c r="K157" s="364">
        <f t="shared" si="70"/>
        <v>10928.28</v>
      </c>
      <c r="L157" s="67" t="s">
        <v>41</v>
      </c>
      <c r="M157" s="70">
        <f t="shared" si="71"/>
        <v>10928</v>
      </c>
      <c r="N157" s="71" t="s">
        <v>37</v>
      </c>
      <c r="O157" s="70">
        <f t="shared" si="72"/>
        <v>11000</v>
      </c>
      <c r="P157" s="67" t="s">
        <v>332</v>
      </c>
      <c r="Q157" s="67"/>
      <c r="R157" s="65"/>
      <c r="S157" s="65"/>
      <c r="T157" s="381"/>
      <c r="U157" s="381"/>
      <c r="V157" s="381"/>
    </row>
    <row r="158" spans="1:22" x14ac:dyDescent="0.25">
      <c r="A158" s="383" t="s">
        <v>21</v>
      </c>
      <c r="B158" s="376" t="s">
        <v>453</v>
      </c>
      <c r="C158" s="64"/>
      <c r="D158" s="378">
        <v>346</v>
      </c>
      <c r="E158" s="378">
        <v>244</v>
      </c>
      <c r="F158" s="425" t="s">
        <v>262</v>
      </c>
      <c r="G158" s="425"/>
      <c r="H158" s="425"/>
      <c r="I158" s="425"/>
      <c r="J158" s="425"/>
      <c r="K158" s="425"/>
      <c r="L158" s="425"/>
      <c r="M158" s="425"/>
      <c r="N158" s="425"/>
      <c r="O158" s="425"/>
      <c r="P158" s="425"/>
      <c r="Q158" s="425"/>
      <c r="R158" s="425"/>
      <c r="S158" s="65"/>
      <c r="T158" s="381">
        <f>O159</f>
        <v>4081300</v>
      </c>
      <c r="U158" s="381">
        <f>O160</f>
        <v>4251100</v>
      </c>
      <c r="V158" s="381">
        <f>O161</f>
        <v>4420700</v>
      </c>
    </row>
    <row r="159" spans="1:22" ht="12" customHeight="1" x14ac:dyDescent="0.25">
      <c r="A159" s="383"/>
      <c r="B159" s="377"/>
      <c r="C159" s="64"/>
      <c r="D159" s="379"/>
      <c r="E159" s="379"/>
      <c r="F159" s="68" t="str">
        <f>F14</f>
        <v>норматив на 2024 год :</v>
      </c>
      <c r="G159" s="364">
        <v>213</v>
      </c>
      <c r="H159" s="67" t="s">
        <v>48</v>
      </c>
      <c r="I159" s="364">
        <v>19161</v>
      </c>
      <c r="J159" s="67" t="s">
        <v>41</v>
      </c>
      <c r="K159" s="364">
        <f>ROUND((G159*I159),2)</f>
        <v>4081293</v>
      </c>
      <c r="L159" s="67" t="s">
        <v>41</v>
      </c>
      <c r="M159" s="70">
        <f>ROUNDDOWN((K159),0)</f>
        <v>4081293</v>
      </c>
      <c r="N159" s="71" t="s">
        <v>37</v>
      </c>
      <c r="O159" s="70">
        <f>ROUNDUP((M159),-2)</f>
        <v>4081300</v>
      </c>
      <c r="P159" s="67" t="s">
        <v>332</v>
      </c>
      <c r="Q159" s="67"/>
      <c r="R159" s="65"/>
      <c r="S159" s="65"/>
      <c r="T159" s="381"/>
      <c r="U159" s="381"/>
      <c r="V159" s="381"/>
    </row>
    <row r="160" spans="1:22" ht="15" hidden="1" x14ac:dyDescent="0.25">
      <c r="A160" s="383"/>
      <c r="B160" s="377"/>
      <c r="C160" s="64"/>
      <c r="D160" s="379"/>
      <c r="E160" s="379"/>
      <c r="F160" s="68" t="str">
        <f>F15</f>
        <v>норматив на 2025 год :</v>
      </c>
      <c r="G160" s="364">
        <v>213</v>
      </c>
      <c r="H160" s="67" t="s">
        <v>48</v>
      </c>
      <c r="I160" s="364">
        <v>19958.099999999999</v>
      </c>
      <c r="J160" s="67" t="s">
        <v>41</v>
      </c>
      <c r="K160" s="364">
        <f t="shared" ref="K160:K161" si="73">ROUND((G160*I160),2)</f>
        <v>4251075.3</v>
      </c>
      <c r="L160" s="67" t="s">
        <v>41</v>
      </c>
      <c r="M160" s="70">
        <f t="shared" ref="M160:M161" si="74">ROUNDDOWN((K160),0)</f>
        <v>4251075</v>
      </c>
      <c r="N160" s="71" t="s">
        <v>37</v>
      </c>
      <c r="O160" s="70">
        <f t="shared" ref="O160:O161" si="75">ROUNDUP((M160),-2)</f>
        <v>4251100</v>
      </c>
      <c r="P160" s="67" t="s">
        <v>332</v>
      </c>
      <c r="Q160" s="67"/>
      <c r="R160" s="65"/>
      <c r="S160" s="65"/>
      <c r="T160" s="381"/>
      <c r="U160" s="381"/>
      <c r="V160" s="381"/>
    </row>
    <row r="161" spans="1:22" ht="15" hidden="1" x14ac:dyDescent="0.25">
      <c r="A161" s="383"/>
      <c r="B161" s="377"/>
      <c r="C161" s="64"/>
      <c r="D161" s="379"/>
      <c r="E161" s="379"/>
      <c r="F161" s="68" t="str">
        <f>F16</f>
        <v>норматив на 2026 год :</v>
      </c>
      <c r="G161" s="364">
        <v>213</v>
      </c>
      <c r="H161" s="67" t="s">
        <v>48</v>
      </c>
      <c r="I161" s="364">
        <v>20754.43</v>
      </c>
      <c r="J161" s="67" t="s">
        <v>41</v>
      </c>
      <c r="K161" s="364">
        <f t="shared" si="73"/>
        <v>4420693.59</v>
      </c>
      <c r="L161" s="67" t="s">
        <v>41</v>
      </c>
      <c r="M161" s="70">
        <f t="shared" si="74"/>
        <v>4420693</v>
      </c>
      <c r="N161" s="71" t="s">
        <v>37</v>
      </c>
      <c r="O161" s="70">
        <f t="shared" si="75"/>
        <v>4420700</v>
      </c>
      <c r="P161" s="67" t="s">
        <v>332</v>
      </c>
      <c r="Q161" s="67"/>
      <c r="R161" s="65"/>
      <c r="S161" s="65"/>
      <c r="T161" s="381"/>
      <c r="U161" s="381"/>
      <c r="V161" s="381"/>
    </row>
    <row r="162" spans="1:22" ht="15" x14ac:dyDescent="0.25">
      <c r="A162" s="383" t="s">
        <v>22</v>
      </c>
      <c r="B162" s="400" t="s">
        <v>454</v>
      </c>
      <c r="C162" s="64"/>
      <c r="D162" s="394">
        <v>343</v>
      </c>
      <c r="E162" s="394">
        <v>244</v>
      </c>
      <c r="F162" s="380" t="s">
        <v>390</v>
      </c>
      <c r="G162" s="380"/>
      <c r="H162" s="380"/>
      <c r="I162" s="380"/>
      <c r="J162" s="380"/>
      <c r="K162" s="380"/>
      <c r="L162" s="380"/>
      <c r="M162" s="380"/>
      <c r="N162" s="380"/>
      <c r="O162" s="380"/>
      <c r="P162" s="380"/>
      <c r="Q162" s="380"/>
      <c r="R162" s="380"/>
      <c r="S162" s="420">
        <f>M164</f>
        <v>41786</v>
      </c>
      <c r="T162" s="385">
        <f>O164</f>
        <v>41800</v>
      </c>
      <c r="U162" s="385">
        <f>O165</f>
        <v>43600</v>
      </c>
      <c r="V162" s="385">
        <f>O166</f>
        <v>45300</v>
      </c>
    </row>
    <row r="163" spans="1:22" ht="15" x14ac:dyDescent="0.25">
      <c r="A163" s="383"/>
      <c r="B163" s="401"/>
      <c r="C163" s="64"/>
      <c r="D163" s="395"/>
      <c r="E163" s="395"/>
      <c r="F163" s="61"/>
      <c r="G163" s="364">
        <v>700</v>
      </c>
      <c r="H163" s="67" t="s">
        <v>303</v>
      </c>
      <c r="I163" s="364"/>
      <c r="J163" s="67" t="s">
        <v>41</v>
      </c>
      <c r="K163" s="364">
        <f>ROUND((G163*I163),2)</f>
        <v>0</v>
      </c>
      <c r="L163" s="67" t="s">
        <v>37</v>
      </c>
      <c r="M163" s="67"/>
      <c r="N163" s="67"/>
      <c r="O163" s="70">
        <f t="shared" ref="O163" si="76">ROUNDUP((M163),-1)</f>
        <v>0</v>
      </c>
      <c r="P163" s="67"/>
      <c r="Q163" s="67"/>
      <c r="R163" s="65"/>
      <c r="S163" s="421"/>
      <c r="T163" s="386"/>
      <c r="U163" s="386"/>
      <c r="V163" s="386"/>
    </row>
    <row r="164" spans="1:22" ht="1.5" customHeight="1" x14ac:dyDescent="0.25">
      <c r="A164" s="383"/>
      <c r="B164" s="401"/>
      <c r="C164" s="64"/>
      <c r="D164" s="395"/>
      <c r="E164" s="395"/>
      <c r="F164" s="68" t="str">
        <f>F14</f>
        <v>норматив на 2024 год :</v>
      </c>
      <c r="G164" s="364">
        <f>G163</f>
        <v>700</v>
      </c>
      <c r="H164" s="65" t="s">
        <v>304</v>
      </c>
      <c r="I164" s="69">
        <f>56.88*1.0495</f>
        <v>59.695560000000008</v>
      </c>
      <c r="J164" s="67" t="s">
        <v>41</v>
      </c>
      <c r="K164" s="364">
        <f>ROUND((G164*I164),2)</f>
        <v>41786.89</v>
      </c>
      <c r="L164" s="67" t="s">
        <v>41</v>
      </c>
      <c r="M164" s="70">
        <f>ROUNDDOWN((K164),0)</f>
        <v>41786</v>
      </c>
      <c r="N164" s="71" t="s">
        <v>37</v>
      </c>
      <c r="O164" s="70">
        <f>ROUNDUP((M164),-2)</f>
        <v>41800</v>
      </c>
      <c r="P164" s="67" t="s">
        <v>332</v>
      </c>
      <c r="Q164" s="359"/>
      <c r="R164" s="359"/>
      <c r="S164" s="421"/>
      <c r="T164" s="386"/>
      <c r="U164" s="386"/>
      <c r="V164" s="386"/>
    </row>
    <row r="165" spans="1:22" ht="15" hidden="1" x14ac:dyDescent="0.25">
      <c r="A165" s="383"/>
      <c r="B165" s="401"/>
      <c r="C165" s="64"/>
      <c r="D165" s="395"/>
      <c r="E165" s="395"/>
      <c r="F165" s="68" t="str">
        <f>F15</f>
        <v>норматив на 2025 год :</v>
      </c>
      <c r="G165" s="364">
        <f>G163</f>
        <v>700</v>
      </c>
      <c r="H165" s="67" t="str">
        <f>H164</f>
        <v>л. х средняя цена с индексом потребительских цен =</v>
      </c>
      <c r="I165" s="69">
        <f>ROUNDUP(I164*(1.0416),2)</f>
        <v>62.18</v>
      </c>
      <c r="J165" s="67" t="s">
        <v>41</v>
      </c>
      <c r="K165" s="364">
        <f t="shared" ref="K165:K166" si="77">ROUND((G165*I165),2)</f>
        <v>43526</v>
      </c>
      <c r="L165" s="67" t="s">
        <v>41</v>
      </c>
      <c r="M165" s="70">
        <f t="shared" ref="M165:M166" si="78">ROUNDDOWN((K165),0)</f>
        <v>43526</v>
      </c>
      <c r="N165" s="71" t="s">
        <v>37</v>
      </c>
      <c r="O165" s="70">
        <f>ROUNDUP((M165),-2)</f>
        <v>43600</v>
      </c>
      <c r="P165" s="67" t="s">
        <v>332</v>
      </c>
      <c r="Q165" s="359"/>
      <c r="R165" s="359"/>
      <c r="S165" s="421"/>
      <c r="T165" s="386"/>
      <c r="U165" s="386"/>
      <c r="V165" s="386"/>
    </row>
    <row r="166" spans="1:22" ht="15" hidden="1" x14ac:dyDescent="0.25">
      <c r="A166" s="383"/>
      <c r="B166" s="401"/>
      <c r="C166" s="64"/>
      <c r="D166" s="396"/>
      <c r="E166" s="396"/>
      <c r="F166" s="68" t="str">
        <f>F16</f>
        <v>норматив на 2026 год :</v>
      </c>
      <c r="G166" s="364">
        <f>G163</f>
        <v>700</v>
      </c>
      <c r="H166" s="67" t="str">
        <f>H164</f>
        <v>л. х средняя цена с индексом потребительских цен =</v>
      </c>
      <c r="I166" s="69">
        <f>ROUNDUP(I165*(1.0399),2)</f>
        <v>64.67</v>
      </c>
      <c r="J166" s="67" t="s">
        <v>41</v>
      </c>
      <c r="K166" s="364">
        <f t="shared" si="77"/>
        <v>45269</v>
      </c>
      <c r="L166" s="67" t="s">
        <v>41</v>
      </c>
      <c r="M166" s="70">
        <f t="shared" si="78"/>
        <v>45269</v>
      </c>
      <c r="N166" s="71" t="s">
        <v>37</v>
      </c>
      <c r="O166" s="70">
        <f>ROUNDUP((M166),-2)</f>
        <v>45300</v>
      </c>
      <c r="P166" s="67" t="s">
        <v>332</v>
      </c>
      <c r="Q166" s="359"/>
      <c r="R166" s="359"/>
      <c r="S166" s="422"/>
      <c r="T166" s="387"/>
      <c r="U166" s="387"/>
      <c r="V166" s="387"/>
    </row>
    <row r="167" spans="1:22" ht="15" outlineLevel="1" x14ac:dyDescent="0.25">
      <c r="A167" s="388" t="s">
        <v>190</v>
      </c>
      <c r="B167" s="414" t="s">
        <v>455</v>
      </c>
      <c r="C167" s="64"/>
      <c r="D167" s="394">
        <v>346</v>
      </c>
      <c r="E167" s="394">
        <v>244</v>
      </c>
      <c r="F167" s="417" t="s">
        <v>399</v>
      </c>
      <c r="G167" s="418"/>
      <c r="H167" s="418"/>
      <c r="I167" s="418"/>
      <c r="J167" s="418"/>
      <c r="K167" s="418"/>
      <c r="L167" s="418"/>
      <c r="M167" s="418"/>
      <c r="N167" s="418"/>
      <c r="O167" s="418"/>
      <c r="P167" s="418"/>
      <c r="Q167" s="418"/>
      <c r="R167" s="419"/>
      <c r="S167" s="420">
        <f>M169</f>
        <v>37544</v>
      </c>
      <c r="T167" s="385">
        <f>O169</f>
        <v>37600</v>
      </c>
      <c r="U167" s="385">
        <f>O170</f>
        <v>39300</v>
      </c>
      <c r="V167" s="385">
        <f>O171</f>
        <v>41100</v>
      </c>
    </row>
    <row r="168" spans="1:22" ht="14.25" customHeight="1" x14ac:dyDescent="0.25">
      <c r="A168" s="389"/>
      <c r="B168" s="415"/>
      <c r="C168" s="64"/>
      <c r="D168" s="395"/>
      <c r="E168" s="395"/>
      <c r="F168" s="61"/>
      <c r="G168" s="364"/>
      <c r="H168" s="67"/>
      <c r="I168" s="364"/>
      <c r="J168" s="67"/>
      <c r="K168" s="364"/>
      <c r="L168" s="67"/>
      <c r="M168" s="67"/>
      <c r="N168" s="67"/>
      <c r="O168" s="70">
        <f t="shared" ref="O168" si="79">ROUNDUP((M168),-1)</f>
        <v>0</v>
      </c>
      <c r="P168" s="67"/>
      <c r="Q168" s="67"/>
      <c r="R168" s="65"/>
      <c r="S168" s="421"/>
      <c r="T168" s="386"/>
      <c r="U168" s="386"/>
      <c r="V168" s="386"/>
    </row>
    <row r="169" spans="1:22" ht="15" hidden="1" x14ac:dyDescent="0.25">
      <c r="A169" s="389"/>
      <c r="B169" s="415"/>
      <c r="C169" s="64"/>
      <c r="D169" s="395"/>
      <c r="E169" s="395"/>
      <c r="F169" s="68" t="str">
        <f>F14</f>
        <v>норматив на 2024 год :</v>
      </c>
      <c r="G169" s="364">
        <v>4</v>
      </c>
      <c r="H169" s="243" t="s">
        <v>294</v>
      </c>
      <c r="I169" s="69">
        <f>8950*1.0487</f>
        <v>9385.8649999999998</v>
      </c>
      <c r="J169" s="67" t="s">
        <v>41</v>
      </c>
      <c r="K169" s="364">
        <f>ROUND((G169*I169),2)</f>
        <v>37543.46</v>
      </c>
      <c r="L169" s="67" t="s">
        <v>41</v>
      </c>
      <c r="M169" s="70">
        <f>ROUNDUP((K169),0)</f>
        <v>37544</v>
      </c>
      <c r="N169" s="71" t="s">
        <v>37</v>
      </c>
      <c r="O169" s="70">
        <f>ROUNDUP((M169),-2)</f>
        <v>37600</v>
      </c>
      <c r="P169" s="67" t="s">
        <v>332</v>
      </c>
      <c r="Q169" s="359"/>
      <c r="R169" s="359"/>
      <c r="S169" s="421"/>
      <c r="T169" s="386"/>
      <c r="U169" s="386"/>
      <c r="V169" s="386"/>
    </row>
    <row r="170" spans="1:22" ht="15" hidden="1" x14ac:dyDescent="0.25">
      <c r="A170" s="389"/>
      <c r="B170" s="415"/>
      <c r="C170" s="64"/>
      <c r="D170" s="395"/>
      <c r="E170" s="395"/>
      <c r="F170" s="68" t="str">
        <f>F15</f>
        <v>норматив на 2025 год :</v>
      </c>
      <c r="G170" s="364">
        <f>G169</f>
        <v>4</v>
      </c>
      <c r="H170" s="243" t="s">
        <v>294</v>
      </c>
      <c r="I170" s="69">
        <f>ROUNDUP(I169*(1.0457),2)</f>
        <v>9814.8000000000011</v>
      </c>
      <c r="J170" s="67" t="s">
        <v>41</v>
      </c>
      <c r="K170" s="364">
        <f t="shared" ref="K170:K171" si="80">ROUND((G170*I170),2)</f>
        <v>39259.199999999997</v>
      </c>
      <c r="L170" s="67" t="s">
        <v>41</v>
      </c>
      <c r="M170" s="70">
        <f t="shared" ref="M170:M171" si="81">ROUNDUP((K170),0)</f>
        <v>39260</v>
      </c>
      <c r="N170" s="71" t="s">
        <v>37</v>
      </c>
      <c r="O170" s="70">
        <f>ROUNDUP((M170),-2)</f>
        <v>39300</v>
      </c>
      <c r="P170" s="67" t="s">
        <v>332</v>
      </c>
      <c r="Q170" s="359"/>
      <c r="R170" s="359"/>
      <c r="S170" s="421"/>
      <c r="T170" s="386"/>
      <c r="U170" s="386"/>
      <c r="V170" s="386"/>
    </row>
    <row r="171" spans="1:22" ht="15" hidden="1" x14ac:dyDescent="0.25">
      <c r="A171" s="390"/>
      <c r="B171" s="416"/>
      <c r="C171" s="64"/>
      <c r="D171" s="396"/>
      <c r="E171" s="396"/>
      <c r="F171" s="68" t="str">
        <f>F16</f>
        <v>норматив на 2026 год :</v>
      </c>
      <c r="G171" s="364">
        <f>G170</f>
        <v>4</v>
      </c>
      <c r="H171" s="243" t="s">
        <v>294</v>
      </c>
      <c r="I171" s="69">
        <f>ROUNDUP(I170*(1.0457),2)</f>
        <v>10263.34</v>
      </c>
      <c r="J171" s="67" t="s">
        <v>41</v>
      </c>
      <c r="K171" s="364">
        <f t="shared" si="80"/>
        <v>41053.360000000001</v>
      </c>
      <c r="L171" s="67" t="s">
        <v>41</v>
      </c>
      <c r="M171" s="70">
        <f t="shared" si="81"/>
        <v>41054</v>
      </c>
      <c r="N171" s="71" t="s">
        <v>37</v>
      </c>
      <c r="O171" s="70">
        <f>ROUNDUP((M171),-2)</f>
        <v>41100</v>
      </c>
      <c r="P171" s="67" t="s">
        <v>332</v>
      </c>
      <c r="Q171" s="359"/>
      <c r="R171" s="359"/>
      <c r="S171" s="422"/>
      <c r="T171" s="387"/>
      <c r="U171" s="387"/>
      <c r="V171" s="387"/>
    </row>
    <row r="172" spans="1:22" s="95" customFormat="1" x14ac:dyDescent="0.25">
      <c r="A172" s="350" t="s">
        <v>327</v>
      </c>
      <c r="B172" s="361" t="s">
        <v>456</v>
      </c>
      <c r="C172" s="52"/>
      <c r="D172" s="248" t="s">
        <v>35</v>
      </c>
      <c r="E172" s="248" t="s">
        <v>35</v>
      </c>
      <c r="F172" s="423"/>
      <c r="G172" s="424"/>
      <c r="H172" s="424"/>
      <c r="I172" s="424"/>
      <c r="J172" s="424"/>
      <c r="K172" s="424"/>
      <c r="L172" s="424"/>
      <c r="M172" s="424"/>
      <c r="N172" s="424"/>
      <c r="O172" s="424"/>
      <c r="P172" s="424"/>
      <c r="Q172" s="424"/>
      <c r="R172" s="424"/>
      <c r="S172" s="424"/>
      <c r="T172" s="254">
        <f>SUM(T173:T207)</f>
        <v>1754400</v>
      </c>
      <c r="U172" s="254">
        <f t="shared" ref="U172:V172" si="82">SUM(U173:U207)</f>
        <v>1834200</v>
      </c>
      <c r="V172" s="254">
        <f t="shared" si="82"/>
        <v>1917600</v>
      </c>
    </row>
    <row r="173" spans="1:22" ht="15" outlineLevel="1" x14ac:dyDescent="0.25">
      <c r="A173" s="383" t="s">
        <v>407</v>
      </c>
      <c r="B173" s="376" t="s">
        <v>457</v>
      </c>
      <c r="C173" s="64"/>
      <c r="D173" s="378">
        <v>341</v>
      </c>
      <c r="E173" s="378">
        <v>244</v>
      </c>
      <c r="F173" s="380" t="s">
        <v>249</v>
      </c>
      <c r="G173" s="380"/>
      <c r="H173" s="380"/>
      <c r="I173" s="380"/>
      <c r="J173" s="380"/>
      <c r="K173" s="380"/>
      <c r="L173" s="380"/>
      <c r="M173" s="380"/>
      <c r="N173" s="380"/>
      <c r="O173" s="380"/>
      <c r="P173" s="380"/>
      <c r="Q173" s="380"/>
      <c r="R173" s="380"/>
      <c r="S173" s="65"/>
      <c r="T173" s="385">
        <f>O175</f>
        <v>51800</v>
      </c>
      <c r="U173" s="385">
        <f>O176</f>
        <v>54100</v>
      </c>
      <c r="V173" s="385">
        <f>O177</f>
        <v>56600</v>
      </c>
    </row>
    <row r="174" spans="1:22" ht="15" x14ac:dyDescent="0.25">
      <c r="A174" s="383"/>
      <c r="B174" s="377"/>
      <c r="C174" s="64"/>
      <c r="D174" s="379"/>
      <c r="E174" s="384"/>
      <c r="F174" s="61">
        <v>2022</v>
      </c>
      <c r="G174" s="364">
        <v>64</v>
      </c>
      <c r="H174" s="67" t="s">
        <v>78</v>
      </c>
      <c r="I174" s="364">
        <f>ROUNDUP((45557.76/64),2)</f>
        <v>711.84</v>
      </c>
      <c r="J174" s="67" t="s">
        <v>41</v>
      </c>
      <c r="K174" s="364">
        <f>ROUND((G174*I174),2)</f>
        <v>45557.760000000002</v>
      </c>
      <c r="L174" s="67" t="s">
        <v>37</v>
      </c>
      <c r="M174" s="67"/>
      <c r="N174" s="67"/>
      <c r="O174" s="70">
        <f t="shared" ref="O174" si="83">ROUNDUP((M174),-1)</f>
        <v>0</v>
      </c>
      <c r="P174" s="67"/>
      <c r="Q174" s="67"/>
      <c r="R174" s="65"/>
      <c r="S174" s="65"/>
      <c r="T174" s="386"/>
      <c r="U174" s="386"/>
      <c r="V174" s="386"/>
    </row>
    <row r="175" spans="1:22" ht="1.5" customHeight="1" x14ac:dyDescent="0.25">
      <c r="A175" s="383"/>
      <c r="B175" s="377"/>
      <c r="C175" s="64"/>
      <c r="D175" s="379"/>
      <c r="E175" s="384"/>
      <c r="F175" s="68" t="str">
        <f>F14</f>
        <v>норматив на 2024 год :</v>
      </c>
      <c r="G175" s="364">
        <v>64</v>
      </c>
      <c r="H175" s="65" t="s">
        <v>294</v>
      </c>
      <c r="I175" s="69">
        <f>ROUNDUP(I174*(1.0822*1.0487),2)</f>
        <v>807.87</v>
      </c>
      <c r="J175" s="67" t="s">
        <v>41</v>
      </c>
      <c r="K175" s="364">
        <f>G175*I175</f>
        <v>51703.68</v>
      </c>
      <c r="L175" s="67" t="s">
        <v>41</v>
      </c>
      <c r="M175" s="70">
        <f>ROUNDUP((K175),0)</f>
        <v>51704</v>
      </c>
      <c r="N175" s="71" t="s">
        <v>37</v>
      </c>
      <c r="O175" s="70">
        <f>ROUNDUP((M175),-2)</f>
        <v>51800</v>
      </c>
      <c r="P175" s="67" t="s">
        <v>332</v>
      </c>
      <c r="Q175" s="359"/>
      <c r="R175" s="359"/>
      <c r="S175" s="65"/>
      <c r="T175" s="386"/>
      <c r="U175" s="386"/>
      <c r="V175" s="386"/>
    </row>
    <row r="176" spans="1:22" ht="15" hidden="1" x14ac:dyDescent="0.25">
      <c r="A176" s="383"/>
      <c r="B176" s="377"/>
      <c r="C176" s="64"/>
      <c r="D176" s="379"/>
      <c r="E176" s="384"/>
      <c r="F176" s="68" t="str">
        <f>F15</f>
        <v>норматив на 2025 год :</v>
      </c>
      <c r="G176" s="364">
        <v>64</v>
      </c>
      <c r="H176" s="67" t="str">
        <f>H175</f>
        <v>шт. х средняя цена с индексом потребительских цен</v>
      </c>
      <c r="I176" s="69">
        <f>ROUNDUP(I175*(1.0457),2)</f>
        <v>844.79</v>
      </c>
      <c r="J176" s="67" t="s">
        <v>41</v>
      </c>
      <c r="K176" s="364">
        <f t="shared" ref="K176:K177" si="84">G176*I176</f>
        <v>54066.559999999998</v>
      </c>
      <c r="L176" s="67" t="s">
        <v>41</v>
      </c>
      <c r="M176" s="70">
        <f t="shared" ref="M176:M177" si="85">ROUNDUP((K176),0)</f>
        <v>54067</v>
      </c>
      <c r="N176" s="71" t="s">
        <v>37</v>
      </c>
      <c r="O176" s="70">
        <f t="shared" ref="O176:O177" si="86">ROUNDUP((M176),-2)</f>
        <v>54100</v>
      </c>
      <c r="P176" s="67" t="s">
        <v>332</v>
      </c>
      <c r="Q176" s="359"/>
      <c r="R176" s="359"/>
      <c r="S176" s="65"/>
      <c r="T176" s="386"/>
      <c r="U176" s="386"/>
      <c r="V176" s="386"/>
    </row>
    <row r="177" spans="1:22" ht="15" hidden="1" x14ac:dyDescent="0.25">
      <c r="A177" s="383"/>
      <c r="B177" s="377"/>
      <c r="C177" s="64"/>
      <c r="D177" s="379"/>
      <c r="E177" s="384"/>
      <c r="F177" s="68" t="str">
        <f>F16</f>
        <v>норматив на 2026 год :</v>
      </c>
      <c r="G177" s="364">
        <v>64</v>
      </c>
      <c r="H177" s="67" t="str">
        <f>H175</f>
        <v>шт. х средняя цена с индексом потребительских цен</v>
      </c>
      <c r="I177" s="69">
        <f>ROUNDUP(I176*(1.0457),2)</f>
        <v>883.4</v>
      </c>
      <c r="J177" s="67" t="s">
        <v>41</v>
      </c>
      <c r="K177" s="364">
        <f t="shared" si="84"/>
        <v>56537.599999999999</v>
      </c>
      <c r="L177" s="67" t="s">
        <v>41</v>
      </c>
      <c r="M177" s="70">
        <f t="shared" si="85"/>
        <v>56538</v>
      </c>
      <c r="N177" s="71" t="s">
        <v>37</v>
      </c>
      <c r="O177" s="70">
        <f t="shared" si="86"/>
        <v>56600</v>
      </c>
      <c r="P177" s="67" t="s">
        <v>332</v>
      </c>
      <c r="Q177" s="359"/>
      <c r="R177" s="359"/>
      <c r="S177" s="65"/>
      <c r="T177" s="387"/>
      <c r="U177" s="387"/>
      <c r="V177" s="387"/>
    </row>
    <row r="178" spans="1:22" ht="15" x14ac:dyDescent="0.25">
      <c r="A178" s="383" t="s">
        <v>408</v>
      </c>
      <c r="B178" s="376" t="s">
        <v>458</v>
      </c>
      <c r="C178" s="64"/>
      <c r="D178" s="378">
        <v>341</v>
      </c>
      <c r="E178" s="378">
        <v>244</v>
      </c>
      <c r="F178" s="380" t="s">
        <v>249</v>
      </c>
      <c r="G178" s="380"/>
      <c r="H178" s="380"/>
      <c r="I178" s="380"/>
      <c r="J178" s="380"/>
      <c r="K178" s="380"/>
      <c r="L178" s="380"/>
      <c r="M178" s="380"/>
      <c r="N178" s="380"/>
      <c r="O178" s="380"/>
      <c r="P178" s="380"/>
      <c r="Q178" s="380"/>
      <c r="R178" s="380"/>
      <c r="S178" s="65"/>
      <c r="T178" s="408">
        <f>O180</f>
        <v>11600</v>
      </c>
      <c r="U178" s="408">
        <f>O181</f>
        <v>12100</v>
      </c>
      <c r="V178" s="408">
        <f>O182</f>
        <v>12700</v>
      </c>
    </row>
    <row r="179" spans="1:22" ht="12.75" customHeight="1" x14ac:dyDescent="0.25">
      <c r="A179" s="383"/>
      <c r="B179" s="377"/>
      <c r="C179" s="64"/>
      <c r="D179" s="379"/>
      <c r="E179" s="384"/>
      <c r="F179" s="61">
        <v>2022</v>
      </c>
      <c r="G179" s="364">
        <v>11</v>
      </c>
      <c r="H179" s="67" t="s">
        <v>78</v>
      </c>
      <c r="I179" s="364">
        <v>923.64</v>
      </c>
      <c r="J179" s="67" t="s">
        <v>41</v>
      </c>
      <c r="K179" s="364">
        <f>ROUND((G179*I179),2)</f>
        <v>10160.040000000001</v>
      </c>
      <c r="L179" s="67" t="s">
        <v>37</v>
      </c>
      <c r="M179" s="67"/>
      <c r="N179" s="67"/>
      <c r="O179" s="70">
        <f t="shared" ref="O179" si="87">ROUNDUP((M179),-1)</f>
        <v>0</v>
      </c>
      <c r="P179" s="67"/>
      <c r="Q179" s="67"/>
      <c r="R179" s="65"/>
      <c r="S179" s="65"/>
      <c r="T179" s="409"/>
      <c r="U179" s="409"/>
      <c r="V179" s="409"/>
    </row>
    <row r="180" spans="1:22" ht="15" hidden="1" x14ac:dyDescent="0.25">
      <c r="A180" s="383"/>
      <c r="B180" s="377"/>
      <c r="C180" s="64"/>
      <c r="D180" s="379"/>
      <c r="E180" s="384"/>
      <c r="F180" s="68" t="str">
        <f>F14</f>
        <v>норматив на 2024 год :</v>
      </c>
      <c r="G180" s="364">
        <v>11</v>
      </c>
      <c r="H180" s="65" t="s">
        <v>294</v>
      </c>
      <c r="I180" s="69">
        <f>ROUNDUP(I179*(1.0822*1.0487),2)</f>
        <v>1048.25</v>
      </c>
      <c r="J180" s="67" t="s">
        <v>41</v>
      </c>
      <c r="K180" s="364">
        <f>G180*I180</f>
        <v>11530.75</v>
      </c>
      <c r="L180" s="67" t="s">
        <v>41</v>
      </c>
      <c r="M180" s="70">
        <f>ROUNDUP((K180),0)</f>
        <v>11531</v>
      </c>
      <c r="N180" s="71" t="s">
        <v>37</v>
      </c>
      <c r="O180" s="70">
        <f>ROUNDUP((M180),-2)</f>
        <v>11600</v>
      </c>
      <c r="P180" s="67" t="s">
        <v>332</v>
      </c>
      <c r="Q180" s="359"/>
      <c r="R180" s="359"/>
      <c r="S180" s="65"/>
      <c r="T180" s="409"/>
      <c r="U180" s="409"/>
      <c r="V180" s="409"/>
    </row>
    <row r="181" spans="1:22" ht="15" hidden="1" x14ac:dyDescent="0.25">
      <c r="A181" s="383"/>
      <c r="B181" s="377"/>
      <c r="C181" s="64"/>
      <c r="D181" s="379"/>
      <c r="E181" s="384"/>
      <c r="F181" s="68" t="str">
        <f>F15</f>
        <v>норматив на 2025 год :</v>
      </c>
      <c r="G181" s="364">
        <v>11</v>
      </c>
      <c r="H181" s="67" t="str">
        <f>H180</f>
        <v>шт. х средняя цена с индексом потребительских цен</v>
      </c>
      <c r="I181" s="69">
        <f>ROUNDUP(I180*(1.0457),2)</f>
        <v>1096.1600000000001</v>
      </c>
      <c r="J181" s="67" t="s">
        <v>41</v>
      </c>
      <c r="K181" s="364">
        <f t="shared" ref="K181:K182" si="88">G181*I181</f>
        <v>12057.76</v>
      </c>
      <c r="L181" s="67" t="s">
        <v>41</v>
      </c>
      <c r="M181" s="70">
        <f t="shared" ref="M181:M182" si="89">ROUNDUP((K181),0)</f>
        <v>12058</v>
      </c>
      <c r="N181" s="71" t="s">
        <v>37</v>
      </c>
      <c r="O181" s="70">
        <f t="shared" ref="O181:O182" si="90">ROUNDUP((M181),-2)</f>
        <v>12100</v>
      </c>
      <c r="P181" s="67" t="s">
        <v>332</v>
      </c>
      <c r="Q181" s="359"/>
      <c r="R181" s="359"/>
      <c r="S181" s="65"/>
      <c r="T181" s="409"/>
      <c r="U181" s="409"/>
      <c r="V181" s="409"/>
    </row>
    <row r="182" spans="1:22" ht="15" hidden="1" x14ac:dyDescent="0.25">
      <c r="A182" s="383"/>
      <c r="B182" s="377"/>
      <c r="C182" s="64"/>
      <c r="D182" s="379"/>
      <c r="E182" s="384"/>
      <c r="F182" s="68" t="str">
        <f>F16</f>
        <v>норматив на 2026 год :</v>
      </c>
      <c r="G182" s="364">
        <v>11</v>
      </c>
      <c r="H182" s="67" t="str">
        <f>H180</f>
        <v>шт. х средняя цена с индексом потребительских цен</v>
      </c>
      <c r="I182" s="69">
        <f>ROUNDUP(I181*(1.0457),2)</f>
        <v>1146.26</v>
      </c>
      <c r="J182" s="67" t="s">
        <v>41</v>
      </c>
      <c r="K182" s="364">
        <f t="shared" si="88"/>
        <v>12608.86</v>
      </c>
      <c r="L182" s="67" t="s">
        <v>41</v>
      </c>
      <c r="M182" s="70">
        <f t="shared" si="89"/>
        <v>12609</v>
      </c>
      <c r="N182" s="71" t="s">
        <v>37</v>
      </c>
      <c r="O182" s="70">
        <f t="shared" si="90"/>
        <v>12700</v>
      </c>
      <c r="P182" s="67" t="s">
        <v>332</v>
      </c>
      <c r="Q182" s="359"/>
      <c r="R182" s="359"/>
      <c r="S182" s="65"/>
      <c r="T182" s="410"/>
      <c r="U182" s="410"/>
      <c r="V182" s="410"/>
    </row>
    <row r="183" spans="1:22" ht="15" x14ac:dyDescent="0.25">
      <c r="A183" s="383" t="s">
        <v>409</v>
      </c>
      <c r="B183" s="376" t="s">
        <v>459</v>
      </c>
      <c r="C183" s="64"/>
      <c r="D183" s="378">
        <v>341</v>
      </c>
      <c r="E183" s="378">
        <v>244</v>
      </c>
      <c r="F183" s="380" t="s">
        <v>249</v>
      </c>
      <c r="G183" s="380"/>
      <c r="H183" s="380"/>
      <c r="I183" s="380"/>
      <c r="J183" s="380"/>
      <c r="K183" s="380"/>
      <c r="L183" s="380"/>
      <c r="M183" s="380"/>
      <c r="N183" s="380"/>
      <c r="O183" s="380"/>
      <c r="P183" s="380"/>
      <c r="Q183" s="380"/>
      <c r="R183" s="380"/>
      <c r="S183" s="65"/>
      <c r="T183" s="408">
        <f>O185</f>
        <v>5900</v>
      </c>
      <c r="U183" s="408">
        <f>O186</f>
        <v>6200</v>
      </c>
      <c r="V183" s="408">
        <f>O187</f>
        <v>6500</v>
      </c>
    </row>
    <row r="184" spans="1:22" ht="15" x14ac:dyDescent="0.25">
      <c r="A184" s="383"/>
      <c r="B184" s="377"/>
      <c r="C184" s="64"/>
      <c r="D184" s="379"/>
      <c r="E184" s="384"/>
      <c r="F184" s="61">
        <v>2022</v>
      </c>
      <c r="G184" s="364">
        <v>64</v>
      </c>
      <c r="H184" s="67" t="s">
        <v>78</v>
      </c>
      <c r="I184" s="364">
        <v>80.819999999999993</v>
      </c>
      <c r="J184" s="67" t="s">
        <v>41</v>
      </c>
      <c r="K184" s="364"/>
      <c r="L184" s="67"/>
      <c r="M184" s="70"/>
      <c r="N184" s="67"/>
      <c r="O184" s="70"/>
      <c r="P184" s="67"/>
      <c r="Q184" s="67"/>
      <c r="R184" s="65"/>
      <c r="S184" s="65"/>
      <c r="T184" s="409"/>
      <c r="U184" s="409"/>
      <c r="V184" s="409"/>
    </row>
    <row r="185" spans="1:22" ht="1.5" customHeight="1" x14ac:dyDescent="0.25">
      <c r="A185" s="383"/>
      <c r="B185" s="377"/>
      <c r="C185" s="64"/>
      <c r="D185" s="379"/>
      <c r="E185" s="384"/>
      <c r="F185" s="68" t="str">
        <f>F14</f>
        <v>норматив на 2024 год :</v>
      </c>
      <c r="G185" s="364">
        <v>64</v>
      </c>
      <c r="H185" s="65" t="s">
        <v>294</v>
      </c>
      <c r="I185" s="69">
        <f>ROUNDUP(I184*(1.0822*1.0487),2)</f>
        <v>91.73</v>
      </c>
      <c r="J185" s="67" t="s">
        <v>41</v>
      </c>
      <c r="K185" s="364">
        <f>G185*I185</f>
        <v>5870.72</v>
      </c>
      <c r="L185" s="67" t="s">
        <v>41</v>
      </c>
      <c r="M185" s="70">
        <f>ROUNDUP((K185),0)</f>
        <v>5871</v>
      </c>
      <c r="N185" s="71" t="s">
        <v>37</v>
      </c>
      <c r="O185" s="70">
        <f>ROUNDUP((M185),-2)</f>
        <v>5900</v>
      </c>
      <c r="P185" s="67" t="s">
        <v>332</v>
      </c>
      <c r="Q185" s="359"/>
      <c r="R185" s="359"/>
      <c r="S185" s="65"/>
      <c r="T185" s="409"/>
      <c r="U185" s="409"/>
      <c r="V185" s="409"/>
    </row>
    <row r="186" spans="1:22" ht="15" hidden="1" x14ac:dyDescent="0.25">
      <c r="A186" s="383"/>
      <c r="B186" s="377"/>
      <c r="C186" s="64"/>
      <c r="D186" s="379"/>
      <c r="E186" s="384"/>
      <c r="F186" s="68" t="str">
        <f>F15</f>
        <v>норматив на 2025 год :</v>
      </c>
      <c r="G186" s="364">
        <v>64</v>
      </c>
      <c r="H186" s="67" t="str">
        <f>H185</f>
        <v>шт. х средняя цена с индексом потребительских цен</v>
      </c>
      <c r="I186" s="69">
        <f>ROUNDUP(I185*(1.0457),2)</f>
        <v>95.93</v>
      </c>
      <c r="J186" s="67" t="s">
        <v>41</v>
      </c>
      <c r="K186" s="364">
        <f t="shared" ref="K186:K187" si="91">G186*I186</f>
        <v>6139.52</v>
      </c>
      <c r="L186" s="67" t="s">
        <v>41</v>
      </c>
      <c r="M186" s="70">
        <f t="shared" ref="M186:M187" si="92">ROUNDUP((K186),0)</f>
        <v>6140</v>
      </c>
      <c r="N186" s="71" t="s">
        <v>37</v>
      </c>
      <c r="O186" s="70">
        <f t="shared" ref="O186:O187" si="93">ROUNDUP((M186),-2)</f>
        <v>6200</v>
      </c>
      <c r="P186" s="67" t="s">
        <v>332</v>
      </c>
      <c r="Q186" s="359"/>
      <c r="R186" s="359"/>
      <c r="S186" s="65"/>
      <c r="T186" s="409"/>
      <c r="U186" s="409"/>
      <c r="V186" s="409"/>
    </row>
    <row r="187" spans="1:22" ht="15" hidden="1" x14ac:dyDescent="0.25">
      <c r="A187" s="383"/>
      <c r="B187" s="377"/>
      <c r="C187" s="64"/>
      <c r="D187" s="379"/>
      <c r="E187" s="384"/>
      <c r="F187" s="68" t="str">
        <f>F16</f>
        <v>норматив на 2026 год :</v>
      </c>
      <c r="G187" s="364">
        <v>64</v>
      </c>
      <c r="H187" s="67" t="str">
        <f>H185</f>
        <v>шт. х средняя цена с индексом потребительских цен</v>
      </c>
      <c r="I187" s="69">
        <f>ROUNDUP(I186*(1.0457),2)</f>
        <v>100.32000000000001</v>
      </c>
      <c r="J187" s="67" t="s">
        <v>41</v>
      </c>
      <c r="K187" s="364">
        <f t="shared" si="91"/>
        <v>6420.4800000000005</v>
      </c>
      <c r="L187" s="67" t="s">
        <v>41</v>
      </c>
      <c r="M187" s="70">
        <f t="shared" si="92"/>
        <v>6421</v>
      </c>
      <c r="N187" s="71" t="s">
        <v>37</v>
      </c>
      <c r="O187" s="70">
        <f t="shared" si="93"/>
        <v>6500</v>
      </c>
      <c r="P187" s="67" t="s">
        <v>332</v>
      </c>
      <c r="Q187" s="359"/>
      <c r="R187" s="359"/>
      <c r="S187" s="65"/>
      <c r="T187" s="410"/>
      <c r="U187" s="410"/>
      <c r="V187" s="410"/>
    </row>
    <row r="188" spans="1:22" ht="15" x14ac:dyDescent="0.25">
      <c r="A188" s="383" t="s">
        <v>410</v>
      </c>
      <c r="B188" s="376" t="s">
        <v>460</v>
      </c>
      <c r="C188" s="64"/>
      <c r="D188" s="378">
        <v>341</v>
      </c>
      <c r="E188" s="378">
        <v>244</v>
      </c>
      <c r="F188" s="380" t="s">
        <v>249</v>
      </c>
      <c r="G188" s="380"/>
      <c r="H188" s="380"/>
      <c r="I188" s="380"/>
      <c r="J188" s="380"/>
      <c r="K188" s="380"/>
      <c r="L188" s="380"/>
      <c r="M188" s="380"/>
      <c r="N188" s="380"/>
      <c r="O188" s="380"/>
      <c r="P188" s="380"/>
      <c r="Q188" s="380"/>
      <c r="R188" s="380"/>
      <c r="S188" s="65"/>
      <c r="T188" s="408">
        <f>O190</f>
        <v>6400</v>
      </c>
      <c r="U188" s="408">
        <f>O191</f>
        <v>6700</v>
      </c>
      <c r="V188" s="408">
        <f>O192</f>
        <v>7000</v>
      </c>
    </row>
    <row r="189" spans="1:22" ht="15" x14ac:dyDescent="0.25">
      <c r="A189" s="383"/>
      <c r="B189" s="377"/>
      <c r="C189" s="64"/>
      <c r="D189" s="379"/>
      <c r="E189" s="384"/>
      <c r="F189" s="61">
        <v>2022</v>
      </c>
      <c r="G189" s="364">
        <v>64</v>
      </c>
      <c r="H189" s="67" t="s">
        <v>78</v>
      </c>
      <c r="I189" s="364">
        <v>87.67</v>
      </c>
      <c r="J189" s="67" t="s">
        <v>41</v>
      </c>
      <c r="K189" s="364">
        <f>ROUND((G189*I189),2)</f>
        <v>5610.88</v>
      </c>
      <c r="L189" s="67" t="s">
        <v>37</v>
      </c>
      <c r="M189" s="67"/>
      <c r="N189" s="67"/>
      <c r="O189" s="70">
        <f t="shared" ref="O189" si="94">ROUNDUP((M189),-1)</f>
        <v>0</v>
      </c>
      <c r="P189" s="67"/>
      <c r="Q189" s="67"/>
      <c r="R189" s="65"/>
      <c r="S189" s="65"/>
      <c r="T189" s="409"/>
      <c r="U189" s="409"/>
      <c r="V189" s="409"/>
    </row>
    <row r="190" spans="1:22" ht="6" customHeight="1" x14ac:dyDescent="0.25">
      <c r="A190" s="383"/>
      <c r="B190" s="377"/>
      <c r="C190" s="64"/>
      <c r="D190" s="379"/>
      <c r="E190" s="384"/>
      <c r="F190" s="68" t="str">
        <f>F14</f>
        <v>норматив на 2024 год :</v>
      </c>
      <c r="G190" s="364">
        <v>64</v>
      </c>
      <c r="H190" s="65" t="s">
        <v>294</v>
      </c>
      <c r="I190" s="69">
        <f>ROUNDUP(I189*(1.0822*1.0487),2)</f>
        <v>99.5</v>
      </c>
      <c r="J190" s="67" t="s">
        <v>41</v>
      </c>
      <c r="K190" s="364">
        <f>G190*I190</f>
        <v>6368</v>
      </c>
      <c r="L190" s="67" t="s">
        <v>41</v>
      </c>
      <c r="M190" s="70">
        <f>ROUNDUP((K190),0)</f>
        <v>6368</v>
      </c>
      <c r="N190" s="71" t="s">
        <v>37</v>
      </c>
      <c r="O190" s="70">
        <f>ROUNDUP((M190),-2)</f>
        <v>6400</v>
      </c>
      <c r="P190" s="67" t="s">
        <v>332</v>
      </c>
      <c r="Q190" s="359"/>
      <c r="R190" s="359"/>
      <c r="S190" s="65"/>
      <c r="T190" s="409"/>
      <c r="U190" s="409"/>
      <c r="V190" s="409"/>
    </row>
    <row r="191" spans="1:22" ht="15" hidden="1" x14ac:dyDescent="0.25">
      <c r="A191" s="383"/>
      <c r="B191" s="377"/>
      <c r="C191" s="64"/>
      <c r="D191" s="379"/>
      <c r="E191" s="384"/>
      <c r="F191" s="68" t="str">
        <f>F15</f>
        <v>норматив на 2025 год :</v>
      </c>
      <c r="G191" s="364">
        <v>64</v>
      </c>
      <c r="H191" s="67" t="str">
        <f>H190</f>
        <v>шт. х средняя цена с индексом потребительских цен</v>
      </c>
      <c r="I191" s="69">
        <f>ROUNDUP(I190*(1.0457),2)</f>
        <v>104.05000000000001</v>
      </c>
      <c r="J191" s="67" t="s">
        <v>41</v>
      </c>
      <c r="K191" s="364">
        <f t="shared" ref="K191:K192" si="95">G191*I191</f>
        <v>6659.2000000000007</v>
      </c>
      <c r="L191" s="67" t="s">
        <v>41</v>
      </c>
      <c r="M191" s="70">
        <f t="shared" ref="M191:M192" si="96">ROUNDUP((K191),0)</f>
        <v>6660</v>
      </c>
      <c r="N191" s="71" t="s">
        <v>37</v>
      </c>
      <c r="O191" s="70">
        <f t="shared" ref="O191:O192" si="97">ROUNDUP((M191),-2)</f>
        <v>6700</v>
      </c>
      <c r="P191" s="67" t="s">
        <v>332</v>
      </c>
      <c r="Q191" s="359"/>
      <c r="R191" s="359"/>
      <c r="S191" s="65"/>
      <c r="T191" s="409"/>
      <c r="U191" s="409"/>
      <c r="V191" s="409"/>
    </row>
    <row r="192" spans="1:22" ht="15" hidden="1" x14ac:dyDescent="0.25">
      <c r="A192" s="383"/>
      <c r="B192" s="377"/>
      <c r="C192" s="64"/>
      <c r="D192" s="379"/>
      <c r="E192" s="384"/>
      <c r="F192" s="68" t="str">
        <f>F16</f>
        <v>норматив на 2026 год :</v>
      </c>
      <c r="G192" s="364">
        <v>64</v>
      </c>
      <c r="H192" s="67" t="str">
        <f>H190</f>
        <v>шт. х средняя цена с индексом потребительских цен</v>
      </c>
      <c r="I192" s="69">
        <f>ROUNDUP(I191*(1.0457),2)</f>
        <v>108.81</v>
      </c>
      <c r="J192" s="67" t="s">
        <v>41</v>
      </c>
      <c r="K192" s="364">
        <f t="shared" si="95"/>
        <v>6963.84</v>
      </c>
      <c r="L192" s="67" t="s">
        <v>41</v>
      </c>
      <c r="M192" s="70">
        <f t="shared" si="96"/>
        <v>6964</v>
      </c>
      <c r="N192" s="71" t="s">
        <v>37</v>
      </c>
      <c r="O192" s="70">
        <f t="shared" si="97"/>
        <v>7000</v>
      </c>
      <c r="P192" s="67" t="s">
        <v>332</v>
      </c>
      <c r="Q192" s="359"/>
      <c r="R192" s="359"/>
      <c r="S192" s="65"/>
      <c r="T192" s="410"/>
      <c r="U192" s="410"/>
      <c r="V192" s="410"/>
    </row>
    <row r="193" spans="1:25" ht="15" x14ac:dyDescent="0.25">
      <c r="A193" s="383" t="s">
        <v>411</v>
      </c>
      <c r="B193" s="411" t="s">
        <v>423</v>
      </c>
      <c r="C193" s="64"/>
      <c r="D193" s="378">
        <v>345</v>
      </c>
      <c r="E193" s="378">
        <v>244</v>
      </c>
      <c r="F193" s="413" t="s">
        <v>401</v>
      </c>
      <c r="G193" s="413"/>
      <c r="H193" s="413"/>
      <c r="I193" s="413"/>
      <c r="J193" s="413"/>
      <c r="K193" s="413"/>
      <c r="L193" s="413"/>
      <c r="M193" s="413"/>
      <c r="N193" s="413"/>
      <c r="O193" s="413"/>
      <c r="P193" s="413"/>
      <c r="Q193" s="413"/>
      <c r="R193" s="413"/>
      <c r="S193" s="65"/>
      <c r="T193" s="408">
        <f>O195</f>
        <v>107800</v>
      </c>
      <c r="U193" s="408">
        <f>O196</f>
        <v>112300</v>
      </c>
      <c r="V193" s="408">
        <f>O197</f>
        <v>116800</v>
      </c>
    </row>
    <row r="194" spans="1:25" ht="15" x14ac:dyDescent="0.25">
      <c r="A194" s="383"/>
      <c r="B194" s="412"/>
      <c r="C194" s="64"/>
      <c r="D194" s="379"/>
      <c r="E194" s="384"/>
      <c r="F194" s="61">
        <v>2024</v>
      </c>
      <c r="G194" s="364"/>
      <c r="H194" s="67" t="s">
        <v>78</v>
      </c>
      <c r="I194" s="364"/>
      <c r="J194" s="67" t="s">
        <v>41</v>
      </c>
      <c r="K194" s="364">
        <f>ROUND((G194*I194),2)</f>
        <v>0</v>
      </c>
      <c r="L194" s="67" t="s">
        <v>37</v>
      </c>
      <c r="M194" s="67"/>
      <c r="N194" s="67"/>
      <c r="O194" s="70">
        <f t="shared" ref="O194" si="98">ROUNDUP((M194),-1)</f>
        <v>0</v>
      </c>
      <c r="P194" s="67"/>
      <c r="Q194" s="67"/>
      <c r="R194" s="65"/>
      <c r="S194" s="65"/>
      <c r="T194" s="409"/>
      <c r="U194" s="409"/>
      <c r="V194" s="409"/>
    </row>
    <row r="195" spans="1:25" ht="3.75" customHeight="1" x14ac:dyDescent="0.25">
      <c r="A195" s="383"/>
      <c r="B195" s="412"/>
      <c r="C195" s="64"/>
      <c r="D195" s="379"/>
      <c r="E195" s="384"/>
      <c r="F195" s="68" t="str">
        <f>F14</f>
        <v>норматив на 2024 год :</v>
      </c>
      <c r="G195" s="364">
        <v>215</v>
      </c>
      <c r="H195" s="65" t="s">
        <v>294</v>
      </c>
      <c r="I195" s="69">
        <f>ROUNDUP(501.23*(1),2)</f>
        <v>501.23</v>
      </c>
      <c r="J195" s="67" t="s">
        <v>41</v>
      </c>
      <c r="K195" s="364">
        <f>G195*I195</f>
        <v>107764.45</v>
      </c>
      <c r="L195" s="67" t="s">
        <v>41</v>
      </c>
      <c r="M195" s="70">
        <f>ROUNDUP((K195),0)</f>
        <v>107765</v>
      </c>
      <c r="N195" s="71" t="s">
        <v>37</v>
      </c>
      <c r="O195" s="70">
        <f>ROUNDUP((M195),-2)</f>
        <v>107800</v>
      </c>
      <c r="P195" s="67" t="s">
        <v>332</v>
      </c>
      <c r="Q195" s="359"/>
      <c r="R195" s="359"/>
      <c r="S195" s="65"/>
      <c r="T195" s="409"/>
      <c r="U195" s="409"/>
      <c r="V195" s="409"/>
    </row>
    <row r="196" spans="1:25" ht="15" hidden="1" x14ac:dyDescent="0.25">
      <c r="A196" s="383"/>
      <c r="B196" s="412"/>
      <c r="C196" s="64"/>
      <c r="D196" s="379"/>
      <c r="E196" s="384"/>
      <c r="F196" s="68" t="str">
        <f>F15</f>
        <v>норматив на 2025 год :</v>
      </c>
      <c r="G196" s="364">
        <f>G195</f>
        <v>215</v>
      </c>
      <c r="H196" s="67" t="str">
        <f>H195</f>
        <v>шт. х средняя цена с индексом потребительских цен</v>
      </c>
      <c r="I196" s="69">
        <f>ROUNDUP(I195*(1.0416),2)</f>
        <v>522.09</v>
      </c>
      <c r="J196" s="67" t="s">
        <v>41</v>
      </c>
      <c r="K196" s="364">
        <f t="shared" ref="K196:K197" si="99">G196*I196</f>
        <v>112249.35</v>
      </c>
      <c r="L196" s="67" t="s">
        <v>41</v>
      </c>
      <c r="M196" s="70">
        <f t="shared" ref="M196:M197" si="100">ROUNDUP((K196),0)</f>
        <v>112250</v>
      </c>
      <c r="N196" s="71" t="s">
        <v>37</v>
      </c>
      <c r="O196" s="70">
        <f t="shared" ref="O196:O197" si="101">ROUNDUP((M196),-2)</f>
        <v>112300</v>
      </c>
      <c r="P196" s="67" t="s">
        <v>332</v>
      </c>
      <c r="Q196" s="359"/>
      <c r="R196" s="359"/>
      <c r="S196" s="65"/>
      <c r="T196" s="409"/>
      <c r="U196" s="409"/>
      <c r="V196" s="409"/>
    </row>
    <row r="197" spans="1:25" ht="15" hidden="1" x14ac:dyDescent="0.25">
      <c r="A197" s="383"/>
      <c r="B197" s="412"/>
      <c r="C197" s="64"/>
      <c r="D197" s="379"/>
      <c r="E197" s="384"/>
      <c r="F197" s="68" t="str">
        <f>F16</f>
        <v>норматив на 2026 год :</v>
      </c>
      <c r="G197" s="364">
        <f>G195</f>
        <v>215</v>
      </c>
      <c r="H197" s="67" t="str">
        <f>H195</f>
        <v>шт. х средняя цена с индексом потребительских цен</v>
      </c>
      <c r="I197" s="69">
        <f>ROUNDUP(I196*(1.0399),2)</f>
        <v>542.92999999999995</v>
      </c>
      <c r="J197" s="67" t="s">
        <v>41</v>
      </c>
      <c r="K197" s="364">
        <f t="shared" si="99"/>
        <v>116729.94999999998</v>
      </c>
      <c r="L197" s="67" t="s">
        <v>41</v>
      </c>
      <c r="M197" s="70">
        <f t="shared" si="100"/>
        <v>116730</v>
      </c>
      <c r="N197" s="71" t="s">
        <v>37</v>
      </c>
      <c r="O197" s="70">
        <f t="shared" si="101"/>
        <v>116800</v>
      </c>
      <c r="P197" s="67" t="s">
        <v>332</v>
      </c>
      <c r="Q197" s="359"/>
      <c r="R197" s="359"/>
      <c r="S197" s="65"/>
      <c r="T197" s="410"/>
      <c r="U197" s="410"/>
      <c r="V197" s="410"/>
    </row>
    <row r="198" spans="1:25" x14ac:dyDescent="0.3">
      <c r="A198" s="383" t="s">
        <v>412</v>
      </c>
      <c r="B198" s="376" t="s">
        <v>422</v>
      </c>
      <c r="C198" s="64"/>
      <c r="D198" s="378">
        <v>346</v>
      </c>
      <c r="E198" s="378">
        <v>244</v>
      </c>
      <c r="F198" s="380" t="s">
        <v>249</v>
      </c>
      <c r="G198" s="380"/>
      <c r="H198" s="380"/>
      <c r="I198" s="380"/>
      <c r="J198" s="380"/>
      <c r="K198" s="380"/>
      <c r="L198" s="380"/>
      <c r="M198" s="380"/>
      <c r="N198" s="380"/>
      <c r="O198" s="380"/>
      <c r="P198" s="380"/>
      <c r="Q198" s="380"/>
      <c r="R198" s="380"/>
      <c r="S198" s="65"/>
      <c r="T198" s="381">
        <f>O200</f>
        <v>689600</v>
      </c>
      <c r="U198" s="381">
        <f>O201</f>
        <v>721200</v>
      </c>
      <c r="V198" s="381">
        <f>O202</f>
        <v>754300</v>
      </c>
      <c r="Y198" s="354"/>
    </row>
    <row r="199" spans="1:25" ht="18" customHeight="1" outlineLevel="1" x14ac:dyDescent="0.3">
      <c r="A199" s="383"/>
      <c r="B199" s="377"/>
      <c r="C199" s="64"/>
      <c r="D199" s="379"/>
      <c r="E199" s="384"/>
      <c r="F199" s="61">
        <v>2022</v>
      </c>
      <c r="G199" s="364"/>
      <c r="H199" s="67" t="s">
        <v>335</v>
      </c>
      <c r="I199" s="364">
        <v>45</v>
      </c>
      <c r="J199" s="67" t="s">
        <v>41</v>
      </c>
      <c r="K199" s="364">
        <f>ROUND((G199*I199),2)</f>
        <v>0</v>
      </c>
      <c r="L199" s="67" t="s">
        <v>37</v>
      </c>
      <c r="M199" s="67"/>
      <c r="N199" s="67"/>
      <c r="O199" s="70">
        <f t="shared" ref="O199" si="102">ROUNDUP((M199),-1)</f>
        <v>0</v>
      </c>
      <c r="P199" s="67"/>
      <c r="Q199" s="67"/>
      <c r="R199" s="65"/>
      <c r="S199" s="65"/>
      <c r="T199" s="381"/>
      <c r="U199" s="381"/>
      <c r="V199" s="381"/>
      <c r="Y199" s="354"/>
    </row>
    <row r="200" spans="1:25" hidden="1" x14ac:dyDescent="0.3">
      <c r="A200" s="383"/>
      <c r="B200" s="377"/>
      <c r="C200" s="64"/>
      <c r="D200" s="379"/>
      <c r="E200" s="384"/>
      <c r="F200" s="68" t="s">
        <v>193</v>
      </c>
      <c r="G200" s="364">
        <v>13500</v>
      </c>
      <c r="H200" s="243" t="s">
        <v>294</v>
      </c>
      <c r="I200" s="69">
        <f>ROUNDUP(I199*(1.0822*1.0487),2)</f>
        <v>51.08</v>
      </c>
      <c r="J200" s="67" t="s">
        <v>41</v>
      </c>
      <c r="K200" s="364">
        <f>ROUND((G200*I200),2)</f>
        <v>689580</v>
      </c>
      <c r="L200" s="67" t="s">
        <v>41</v>
      </c>
      <c r="M200" s="70">
        <f>ROUNDUP((K200),0)</f>
        <v>689580</v>
      </c>
      <c r="N200" s="71" t="s">
        <v>37</v>
      </c>
      <c r="O200" s="70">
        <f>ROUNDUP((M200),-2)</f>
        <v>689600</v>
      </c>
      <c r="P200" s="67" t="s">
        <v>332</v>
      </c>
      <c r="Q200" s="359"/>
      <c r="R200" s="359"/>
      <c r="S200" s="65"/>
      <c r="T200" s="381"/>
      <c r="U200" s="381"/>
      <c r="V200" s="381"/>
      <c r="Y200" s="354" t="s">
        <v>400</v>
      </c>
    </row>
    <row r="201" spans="1:25" ht="15" hidden="1" x14ac:dyDescent="0.25">
      <c r="A201" s="383"/>
      <c r="B201" s="377"/>
      <c r="C201" s="64"/>
      <c r="D201" s="379"/>
      <c r="E201" s="384"/>
      <c r="F201" s="68" t="s">
        <v>226</v>
      </c>
      <c r="G201" s="364">
        <f>G200</f>
        <v>13500</v>
      </c>
      <c r="H201" s="243" t="s">
        <v>294</v>
      </c>
      <c r="I201" s="69">
        <f>ROUNDUP(I200*(1.0457),2)</f>
        <v>53.419999999999995</v>
      </c>
      <c r="J201" s="67" t="s">
        <v>41</v>
      </c>
      <c r="K201" s="364">
        <f t="shared" ref="K201:K202" si="103">ROUND((G201*I201),2)</f>
        <v>721170</v>
      </c>
      <c r="L201" s="67" t="s">
        <v>41</v>
      </c>
      <c r="M201" s="70">
        <f t="shared" ref="M201:M202" si="104">ROUNDUP((K201),0)</f>
        <v>721170</v>
      </c>
      <c r="N201" s="71" t="s">
        <v>37</v>
      </c>
      <c r="O201" s="70">
        <f t="shared" ref="O201:O202" si="105">ROUNDUP((M201),-2)</f>
        <v>721200</v>
      </c>
      <c r="P201" s="67" t="s">
        <v>332</v>
      </c>
      <c r="Q201" s="359"/>
      <c r="R201" s="359"/>
      <c r="S201" s="65"/>
      <c r="T201" s="381"/>
      <c r="U201" s="381"/>
      <c r="V201" s="381"/>
    </row>
    <row r="202" spans="1:25" ht="15" hidden="1" x14ac:dyDescent="0.25">
      <c r="A202" s="383"/>
      <c r="B202" s="377"/>
      <c r="C202" s="64"/>
      <c r="D202" s="379"/>
      <c r="E202" s="384"/>
      <c r="F202" s="68" t="s">
        <v>240</v>
      </c>
      <c r="G202" s="364">
        <f>G201</f>
        <v>13500</v>
      </c>
      <c r="H202" s="243" t="s">
        <v>294</v>
      </c>
      <c r="I202" s="69">
        <f>ROUNDUP(I201*(1.0457),2)</f>
        <v>55.87</v>
      </c>
      <c r="J202" s="67" t="s">
        <v>41</v>
      </c>
      <c r="K202" s="364">
        <f t="shared" si="103"/>
        <v>754245</v>
      </c>
      <c r="L202" s="67" t="s">
        <v>41</v>
      </c>
      <c r="M202" s="70">
        <f t="shared" si="104"/>
        <v>754245</v>
      </c>
      <c r="N202" s="71" t="s">
        <v>37</v>
      </c>
      <c r="O202" s="70">
        <f t="shared" si="105"/>
        <v>754300</v>
      </c>
      <c r="P202" s="67" t="s">
        <v>332</v>
      </c>
      <c r="Q202" s="70"/>
      <c r="R202" s="71"/>
      <c r="S202" s="65"/>
      <c r="T202" s="382"/>
      <c r="U202" s="382"/>
      <c r="V202" s="382"/>
    </row>
    <row r="203" spans="1:25" ht="15" outlineLevel="1" x14ac:dyDescent="0.25">
      <c r="A203" s="399" t="s">
        <v>413</v>
      </c>
      <c r="B203" s="400" t="s">
        <v>421</v>
      </c>
      <c r="C203" s="365"/>
      <c r="D203" s="402">
        <v>345</v>
      </c>
      <c r="E203" s="402">
        <v>244</v>
      </c>
      <c r="F203" s="405" t="s">
        <v>249</v>
      </c>
      <c r="G203" s="405"/>
      <c r="H203" s="405"/>
      <c r="I203" s="405"/>
      <c r="J203" s="405"/>
      <c r="K203" s="405"/>
      <c r="L203" s="405"/>
      <c r="M203" s="405"/>
      <c r="N203" s="405"/>
      <c r="O203" s="405"/>
      <c r="P203" s="405"/>
      <c r="Q203" s="405"/>
      <c r="R203" s="405"/>
      <c r="S203" s="406">
        <f>M205</f>
        <v>881252</v>
      </c>
      <c r="T203" s="397">
        <f>O205</f>
        <v>881300</v>
      </c>
      <c r="U203" s="397">
        <f>O206</f>
        <v>921600</v>
      </c>
      <c r="V203" s="397">
        <f>O207</f>
        <v>963700</v>
      </c>
    </row>
    <row r="204" spans="1:25" ht="15" x14ac:dyDescent="0.25">
      <c r="A204" s="399"/>
      <c r="B204" s="401"/>
      <c r="C204" s="365"/>
      <c r="D204" s="403"/>
      <c r="E204" s="404"/>
      <c r="F204" s="366">
        <v>2022</v>
      </c>
      <c r="G204" s="367">
        <v>224</v>
      </c>
      <c r="H204" s="368" t="s">
        <v>78</v>
      </c>
      <c r="I204" s="367">
        <v>3466.51</v>
      </c>
      <c r="J204" s="368" t="s">
        <v>41</v>
      </c>
      <c r="K204" s="367">
        <f>ROUND((G204*I204),2)</f>
        <v>776498.24</v>
      </c>
      <c r="L204" s="368" t="s">
        <v>37</v>
      </c>
      <c r="M204" s="368"/>
      <c r="N204" s="368"/>
      <c r="O204" s="369">
        <f t="shared" ref="O204" si="106">ROUNDUP((M204),-1)</f>
        <v>0</v>
      </c>
      <c r="P204" s="368"/>
      <c r="Q204" s="368"/>
      <c r="R204" s="365"/>
      <c r="S204" s="406"/>
      <c r="T204" s="397"/>
      <c r="U204" s="397"/>
      <c r="V204" s="397"/>
    </row>
    <row r="205" spans="1:25" ht="15" hidden="1" x14ac:dyDescent="0.25">
      <c r="A205" s="399"/>
      <c r="B205" s="401"/>
      <c r="C205" s="365"/>
      <c r="D205" s="403"/>
      <c r="E205" s="404"/>
      <c r="F205" s="370" t="str">
        <f>F44</f>
        <v>норматив на 2024 год :</v>
      </c>
      <c r="G205" s="367">
        <v>224</v>
      </c>
      <c r="H205" s="365" t="s">
        <v>294</v>
      </c>
      <c r="I205" s="371">
        <f>ROUNDUP(I204*1.0822*1.0487,2)</f>
        <v>3934.1600000000003</v>
      </c>
      <c r="J205" s="368" t="s">
        <v>41</v>
      </c>
      <c r="K205" s="367">
        <f>G205*I205</f>
        <v>881251.84000000008</v>
      </c>
      <c r="L205" s="368" t="s">
        <v>41</v>
      </c>
      <c r="M205" s="369">
        <f>ROUNDUP((K205),0)</f>
        <v>881252</v>
      </c>
      <c r="N205" s="372" t="s">
        <v>37</v>
      </c>
      <c r="O205" s="369">
        <f>ROUNDUP((M205),-2)</f>
        <v>881300</v>
      </c>
      <c r="P205" s="368" t="s">
        <v>332</v>
      </c>
      <c r="Q205" s="373"/>
      <c r="R205" s="373"/>
      <c r="S205" s="406"/>
      <c r="T205" s="397"/>
      <c r="U205" s="397"/>
      <c r="V205" s="397"/>
    </row>
    <row r="206" spans="1:25" ht="15" hidden="1" x14ac:dyDescent="0.25">
      <c r="A206" s="399"/>
      <c r="B206" s="401"/>
      <c r="C206" s="365"/>
      <c r="D206" s="403"/>
      <c r="E206" s="404"/>
      <c r="F206" s="370" t="str">
        <f>F45</f>
        <v>норматив на 2025 год :</v>
      </c>
      <c r="G206" s="367">
        <v>224</v>
      </c>
      <c r="H206" s="368" t="str">
        <f>H205</f>
        <v>шт. х средняя цена с индексом потребительских цен</v>
      </c>
      <c r="I206" s="371">
        <f>ROUNDUP(I205*(1.0457),2)</f>
        <v>4113.96</v>
      </c>
      <c r="J206" s="368" t="s">
        <v>41</v>
      </c>
      <c r="K206" s="367">
        <f t="shared" ref="K206:K207" si="107">G206*I206</f>
        <v>921527.04</v>
      </c>
      <c r="L206" s="368" t="s">
        <v>41</v>
      </c>
      <c r="M206" s="369">
        <f t="shared" ref="M206:M207" si="108">ROUNDUP((K206),0)</f>
        <v>921528</v>
      </c>
      <c r="N206" s="372" t="s">
        <v>37</v>
      </c>
      <c r="O206" s="369">
        <f t="shared" ref="O206:O207" si="109">ROUNDUP((M206),-2)</f>
        <v>921600</v>
      </c>
      <c r="P206" s="368" t="s">
        <v>332</v>
      </c>
      <c r="Q206" s="373"/>
      <c r="R206" s="373"/>
      <c r="S206" s="406"/>
      <c r="T206" s="397"/>
      <c r="U206" s="397"/>
      <c r="V206" s="397"/>
    </row>
    <row r="207" spans="1:25" ht="1.5" customHeight="1" x14ac:dyDescent="0.25">
      <c r="A207" s="399"/>
      <c r="B207" s="401"/>
      <c r="C207" s="365"/>
      <c r="D207" s="403"/>
      <c r="E207" s="404"/>
      <c r="F207" s="370" t="str">
        <f>F46</f>
        <v>норматив на 2026 год :</v>
      </c>
      <c r="G207" s="367">
        <v>224</v>
      </c>
      <c r="H207" s="368" t="str">
        <f>H205</f>
        <v>шт. х средняя цена с индексом потребительских цен</v>
      </c>
      <c r="I207" s="371">
        <f>ROUNDUP(I206*(1.0457),2)</f>
        <v>4301.97</v>
      </c>
      <c r="J207" s="368" t="s">
        <v>41</v>
      </c>
      <c r="K207" s="367">
        <f t="shared" si="107"/>
        <v>963641.28</v>
      </c>
      <c r="L207" s="368" t="s">
        <v>41</v>
      </c>
      <c r="M207" s="369">
        <f t="shared" si="108"/>
        <v>963642</v>
      </c>
      <c r="N207" s="372" t="s">
        <v>37</v>
      </c>
      <c r="O207" s="369">
        <f t="shared" si="109"/>
        <v>963700</v>
      </c>
      <c r="P207" s="368" t="s">
        <v>332</v>
      </c>
      <c r="Q207" s="373"/>
      <c r="R207" s="373"/>
      <c r="S207" s="407"/>
      <c r="T207" s="398"/>
      <c r="U207" s="398"/>
      <c r="V207" s="398"/>
    </row>
    <row r="208" spans="1:25" ht="10.5" customHeight="1" x14ac:dyDescent="0.25">
      <c r="A208" s="101"/>
      <c r="B208" s="256"/>
      <c r="C208" s="101"/>
      <c r="D208" s="101"/>
      <c r="E208" s="101"/>
      <c r="F208" s="101"/>
      <c r="G208" s="101"/>
      <c r="H208" s="101"/>
      <c r="I208" s="101"/>
      <c r="J208" s="101"/>
      <c r="K208" s="101"/>
      <c r="L208" s="101"/>
      <c r="M208" s="101"/>
      <c r="N208" s="101"/>
      <c r="O208" s="101"/>
      <c r="P208" s="101"/>
      <c r="Q208" s="101"/>
      <c r="R208" s="101"/>
      <c r="S208" s="101"/>
      <c r="T208" s="256"/>
      <c r="U208" s="256"/>
      <c r="V208" s="256"/>
    </row>
    <row r="209" spans="1:1" ht="25.5" customHeight="1" x14ac:dyDescent="0.25">
      <c r="A209" s="102"/>
    </row>
    <row r="211" spans="1:1" x14ac:dyDescent="0.25">
      <c r="A211" s="104"/>
    </row>
  </sheetData>
  <autoFilter ref="A8:V207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9" showButton="0"/>
    <filterColumn colId="20" showButton="0"/>
  </autoFilter>
  <mergeCells count="327">
    <mergeCell ref="T1:V2"/>
    <mergeCell ref="A3:V3"/>
    <mergeCell ref="A4:V4"/>
    <mergeCell ref="A5:V5"/>
    <mergeCell ref="A6:V6"/>
    <mergeCell ref="A8:A9"/>
    <mergeCell ref="B8:B9"/>
    <mergeCell ref="D8:D9"/>
    <mergeCell ref="E8:E9"/>
    <mergeCell ref="F8:R9"/>
    <mergeCell ref="T8:V8"/>
    <mergeCell ref="F11:S11"/>
    <mergeCell ref="F12:S12"/>
    <mergeCell ref="A13:A16"/>
    <mergeCell ref="B13:B16"/>
    <mergeCell ref="D13:D16"/>
    <mergeCell ref="E13:E16"/>
    <mergeCell ref="F13:R13"/>
    <mergeCell ref="T13:T16"/>
    <mergeCell ref="U13:U16"/>
    <mergeCell ref="V13:V16"/>
    <mergeCell ref="A17:A23"/>
    <mergeCell ref="B17:B23"/>
    <mergeCell ref="D17:D23"/>
    <mergeCell ref="E17:E23"/>
    <mergeCell ref="F17:R17"/>
    <mergeCell ref="T17:T23"/>
    <mergeCell ref="U17:U23"/>
    <mergeCell ref="V17:V23"/>
    <mergeCell ref="F24:S24"/>
    <mergeCell ref="F25:S25"/>
    <mergeCell ref="A26:A30"/>
    <mergeCell ref="B26:B30"/>
    <mergeCell ref="D26:D30"/>
    <mergeCell ref="E26:E30"/>
    <mergeCell ref="F26:R26"/>
    <mergeCell ref="U32:U36"/>
    <mergeCell ref="V32:V36"/>
    <mergeCell ref="T26:T30"/>
    <mergeCell ref="U26:U30"/>
    <mergeCell ref="V26:V30"/>
    <mergeCell ref="F31:S31"/>
    <mergeCell ref="A32:A36"/>
    <mergeCell ref="B32:B36"/>
    <mergeCell ref="D32:D36"/>
    <mergeCell ref="E32:E36"/>
    <mergeCell ref="F32:R32"/>
    <mergeCell ref="T32:T36"/>
    <mergeCell ref="A47:A51"/>
    <mergeCell ref="B47:B51"/>
    <mergeCell ref="D47:D51"/>
    <mergeCell ref="E47:E51"/>
    <mergeCell ref="F47:R47"/>
    <mergeCell ref="T47:T51"/>
    <mergeCell ref="U47:U51"/>
    <mergeCell ref="V47:V51"/>
    <mergeCell ref="A42:A46"/>
    <mergeCell ref="B42:B46"/>
    <mergeCell ref="D42:D46"/>
    <mergeCell ref="E42:E46"/>
    <mergeCell ref="F42:R42"/>
    <mergeCell ref="T42:T46"/>
    <mergeCell ref="U42:U46"/>
    <mergeCell ref="V42:V46"/>
    <mergeCell ref="U52:U56"/>
    <mergeCell ref="V52:V56"/>
    <mergeCell ref="A57:A61"/>
    <mergeCell ref="B57:B61"/>
    <mergeCell ref="D57:D61"/>
    <mergeCell ref="E57:E61"/>
    <mergeCell ref="F57:R57"/>
    <mergeCell ref="T57:T61"/>
    <mergeCell ref="U57:U61"/>
    <mergeCell ref="V57:V61"/>
    <mergeCell ref="A52:A56"/>
    <mergeCell ref="B52:B56"/>
    <mergeCell ref="D52:D56"/>
    <mergeCell ref="E52:E56"/>
    <mergeCell ref="F52:R52"/>
    <mergeCell ref="T52:T56"/>
    <mergeCell ref="U62:U66"/>
    <mergeCell ref="V62:V66"/>
    <mergeCell ref="A67:A71"/>
    <mergeCell ref="B67:B71"/>
    <mergeCell ref="D67:D71"/>
    <mergeCell ref="E67:E71"/>
    <mergeCell ref="F67:R67"/>
    <mergeCell ref="T67:T71"/>
    <mergeCell ref="U67:U71"/>
    <mergeCell ref="V67:V71"/>
    <mergeCell ref="A62:A66"/>
    <mergeCell ref="B62:B66"/>
    <mergeCell ref="D62:D66"/>
    <mergeCell ref="E62:E66"/>
    <mergeCell ref="F62:R62"/>
    <mergeCell ref="T62:T66"/>
    <mergeCell ref="U72:U76"/>
    <mergeCell ref="V72:V76"/>
    <mergeCell ref="F77:S77"/>
    <mergeCell ref="A78:A81"/>
    <mergeCell ref="B78:B81"/>
    <mergeCell ref="D78:D81"/>
    <mergeCell ref="E78:E81"/>
    <mergeCell ref="F78:R78"/>
    <mergeCell ref="T78:T81"/>
    <mergeCell ref="U78:U81"/>
    <mergeCell ref="A72:A76"/>
    <mergeCell ref="B72:B76"/>
    <mergeCell ref="D72:D76"/>
    <mergeCell ref="E72:E76"/>
    <mergeCell ref="F72:R72"/>
    <mergeCell ref="T72:T76"/>
    <mergeCell ref="V78:V81"/>
    <mergeCell ref="B82:B86"/>
    <mergeCell ref="D82:D86"/>
    <mergeCell ref="E82:E86"/>
    <mergeCell ref="F82:R82"/>
    <mergeCell ref="T82:T86"/>
    <mergeCell ref="U82:U86"/>
    <mergeCell ref="V82:V86"/>
    <mergeCell ref="U87:U91"/>
    <mergeCell ref="V87:V91"/>
    <mergeCell ref="A138:A141"/>
    <mergeCell ref="B138:B141"/>
    <mergeCell ref="D138:D141"/>
    <mergeCell ref="E138:E141"/>
    <mergeCell ref="F138:R138"/>
    <mergeCell ref="T138:T141"/>
    <mergeCell ref="U138:U141"/>
    <mergeCell ref="A97:A101"/>
    <mergeCell ref="B97:B101"/>
    <mergeCell ref="D97:D101"/>
    <mergeCell ref="E97:E101"/>
    <mergeCell ref="F97:R97"/>
    <mergeCell ref="T97:T101"/>
    <mergeCell ref="A102:A106"/>
    <mergeCell ref="A107:A111"/>
    <mergeCell ref="A112:A116"/>
    <mergeCell ref="B112:B116"/>
    <mergeCell ref="D112:D116"/>
    <mergeCell ref="E112:E116"/>
    <mergeCell ref="F112:R112"/>
    <mergeCell ref="T112:T116"/>
    <mergeCell ref="U112:U116"/>
    <mergeCell ref="T117:T121"/>
    <mergeCell ref="U132:U136"/>
    <mergeCell ref="B142:B146"/>
    <mergeCell ref="D142:D146"/>
    <mergeCell ref="E142:E146"/>
    <mergeCell ref="F142:R142"/>
    <mergeCell ref="T142:T146"/>
    <mergeCell ref="U142:U146"/>
    <mergeCell ref="V142:V146"/>
    <mergeCell ref="U97:U101"/>
    <mergeCell ref="V97:V101"/>
    <mergeCell ref="F137:S137"/>
    <mergeCell ref="B102:B106"/>
    <mergeCell ref="D102:D106"/>
    <mergeCell ref="E102:E106"/>
    <mergeCell ref="F102:R102"/>
    <mergeCell ref="T102:T106"/>
    <mergeCell ref="U102:U106"/>
    <mergeCell ref="V102:V106"/>
    <mergeCell ref="B107:B111"/>
    <mergeCell ref="D107:D111"/>
    <mergeCell ref="E107:E111"/>
    <mergeCell ref="F107:R107"/>
    <mergeCell ref="T107:T111"/>
    <mergeCell ref="U107:U111"/>
    <mergeCell ref="V107:V111"/>
    <mergeCell ref="F152:S152"/>
    <mergeCell ref="A153:A157"/>
    <mergeCell ref="B153:B157"/>
    <mergeCell ref="D153:D157"/>
    <mergeCell ref="E153:E157"/>
    <mergeCell ref="F153:R153"/>
    <mergeCell ref="U127:U131"/>
    <mergeCell ref="V127:V131"/>
    <mergeCell ref="A147:A151"/>
    <mergeCell ref="B147:B151"/>
    <mergeCell ref="D147:D151"/>
    <mergeCell ref="E147:E151"/>
    <mergeCell ref="F147:R147"/>
    <mergeCell ref="T147:T151"/>
    <mergeCell ref="U147:U151"/>
    <mergeCell ref="V147:V151"/>
    <mergeCell ref="A127:A131"/>
    <mergeCell ref="B127:B131"/>
    <mergeCell ref="D127:D131"/>
    <mergeCell ref="E127:E131"/>
    <mergeCell ref="F127:R127"/>
    <mergeCell ref="T127:T131"/>
    <mergeCell ref="V138:V141"/>
    <mergeCell ref="A142:A146"/>
    <mergeCell ref="T153:T157"/>
    <mergeCell ref="U153:U157"/>
    <mergeCell ref="V153:V157"/>
    <mergeCell ref="A158:A161"/>
    <mergeCell ref="B158:B161"/>
    <mergeCell ref="D158:D161"/>
    <mergeCell ref="E158:E161"/>
    <mergeCell ref="F158:R158"/>
    <mergeCell ref="T158:T161"/>
    <mergeCell ref="U158:U161"/>
    <mergeCell ref="V158:V161"/>
    <mergeCell ref="A162:A166"/>
    <mergeCell ref="B162:B166"/>
    <mergeCell ref="D162:D166"/>
    <mergeCell ref="E162:E166"/>
    <mergeCell ref="F162:R162"/>
    <mergeCell ref="S162:S166"/>
    <mergeCell ref="T162:T166"/>
    <mergeCell ref="U162:U166"/>
    <mergeCell ref="V162:V166"/>
    <mergeCell ref="T167:T171"/>
    <mergeCell ref="U167:U171"/>
    <mergeCell ref="V167:V171"/>
    <mergeCell ref="A173:A177"/>
    <mergeCell ref="B173:B177"/>
    <mergeCell ref="D173:D177"/>
    <mergeCell ref="E173:E177"/>
    <mergeCell ref="F173:R173"/>
    <mergeCell ref="T173:T177"/>
    <mergeCell ref="U173:U177"/>
    <mergeCell ref="A167:A171"/>
    <mergeCell ref="B167:B171"/>
    <mergeCell ref="D167:D171"/>
    <mergeCell ref="E167:E171"/>
    <mergeCell ref="F167:R167"/>
    <mergeCell ref="S167:S171"/>
    <mergeCell ref="V173:V177"/>
    <mergeCell ref="F172:S172"/>
    <mergeCell ref="A178:A182"/>
    <mergeCell ref="B178:B182"/>
    <mergeCell ref="D178:D182"/>
    <mergeCell ref="E178:E182"/>
    <mergeCell ref="F178:R178"/>
    <mergeCell ref="T178:T182"/>
    <mergeCell ref="U178:U182"/>
    <mergeCell ref="V178:V182"/>
    <mergeCell ref="U183:U187"/>
    <mergeCell ref="V183:V187"/>
    <mergeCell ref="A188:A192"/>
    <mergeCell ref="B188:B192"/>
    <mergeCell ref="D188:D192"/>
    <mergeCell ref="E188:E192"/>
    <mergeCell ref="F188:R188"/>
    <mergeCell ref="T188:T192"/>
    <mergeCell ref="U188:U192"/>
    <mergeCell ref="V188:V192"/>
    <mergeCell ref="A183:A187"/>
    <mergeCell ref="B183:B187"/>
    <mergeCell ref="D183:D187"/>
    <mergeCell ref="E183:E187"/>
    <mergeCell ref="F183:R183"/>
    <mergeCell ref="T183:T187"/>
    <mergeCell ref="U193:U197"/>
    <mergeCell ref="V193:V197"/>
    <mergeCell ref="A198:A202"/>
    <mergeCell ref="B198:B202"/>
    <mergeCell ref="D198:D202"/>
    <mergeCell ref="E198:E202"/>
    <mergeCell ref="F198:R198"/>
    <mergeCell ref="T198:T202"/>
    <mergeCell ref="U198:U202"/>
    <mergeCell ref="V198:V202"/>
    <mergeCell ref="A193:A197"/>
    <mergeCell ref="B193:B197"/>
    <mergeCell ref="D193:D197"/>
    <mergeCell ref="E193:E197"/>
    <mergeCell ref="F193:R193"/>
    <mergeCell ref="T193:T197"/>
    <mergeCell ref="U203:U207"/>
    <mergeCell ref="V203:V207"/>
    <mergeCell ref="A203:A207"/>
    <mergeCell ref="B203:B207"/>
    <mergeCell ref="D203:D207"/>
    <mergeCell ref="E203:E207"/>
    <mergeCell ref="F203:R203"/>
    <mergeCell ref="T203:T207"/>
    <mergeCell ref="S203:S207"/>
    <mergeCell ref="V132:V136"/>
    <mergeCell ref="A132:A136"/>
    <mergeCell ref="B132:B136"/>
    <mergeCell ref="D132:D136"/>
    <mergeCell ref="E132:E136"/>
    <mergeCell ref="F132:R132"/>
    <mergeCell ref="T132:T136"/>
    <mergeCell ref="U117:U121"/>
    <mergeCell ref="V117:V121"/>
    <mergeCell ref="A122:A126"/>
    <mergeCell ref="B122:B126"/>
    <mergeCell ref="D122:D126"/>
    <mergeCell ref="E122:E126"/>
    <mergeCell ref="F122:R122"/>
    <mergeCell ref="T122:T126"/>
    <mergeCell ref="U122:U126"/>
    <mergeCell ref="V122:V126"/>
    <mergeCell ref="A117:A121"/>
    <mergeCell ref="B117:B121"/>
    <mergeCell ref="D117:D121"/>
    <mergeCell ref="E117:E121"/>
    <mergeCell ref="F117:R117"/>
    <mergeCell ref="A37:A41"/>
    <mergeCell ref="B37:B41"/>
    <mergeCell ref="D37:D41"/>
    <mergeCell ref="E37:E41"/>
    <mergeCell ref="F37:R37"/>
    <mergeCell ref="T37:T41"/>
    <mergeCell ref="U37:U41"/>
    <mergeCell ref="V37:V41"/>
    <mergeCell ref="V112:V116"/>
    <mergeCell ref="A92:A96"/>
    <mergeCell ref="B92:B96"/>
    <mergeCell ref="D92:D96"/>
    <mergeCell ref="E92:E96"/>
    <mergeCell ref="F92:R92"/>
    <mergeCell ref="T92:T96"/>
    <mergeCell ref="U92:U96"/>
    <mergeCell ref="V92:V96"/>
    <mergeCell ref="A87:A91"/>
    <mergeCell ref="B87:B91"/>
    <mergeCell ref="D87:D91"/>
    <mergeCell ref="E87:E91"/>
    <mergeCell ref="F87:R87"/>
    <mergeCell ref="T87:T91"/>
    <mergeCell ref="A82:A86"/>
  </mergeCells>
  <pageMargins left="0.74803149606299213" right="0.35433070866141736" top="1.1811023622047245" bottom="0.35433070866141736" header="0.31496062992125984" footer="0.19685039370078741"/>
  <pageSetup paperSize="9" scale="40" fitToHeight="0" orientation="landscape" r:id="rId1"/>
  <headerFooter>
    <oddFooter>Страница &amp;P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X227"/>
  <sheetViews>
    <sheetView zoomScale="62" zoomScaleNormal="62" zoomScaleSheetLayoutView="70" workbookViewId="0">
      <pane xSplit="2" ySplit="10" topLeftCell="K32" activePane="bottomRight" state="frozen"/>
      <selection pane="topRight" activeCell="C1" sqref="C1"/>
      <selection pane="bottomLeft" activeCell="A11" sqref="A11"/>
      <selection pane="bottomRight" activeCell="A37" sqref="A37:W41"/>
    </sheetView>
  </sheetViews>
  <sheetFormatPr defaultColWidth="9.140625" defaultRowHeight="18.75" outlineLevelRow="1" outlineLevelCol="1" x14ac:dyDescent="0.25"/>
  <cols>
    <col min="1" max="1" width="9.5703125" style="55" customWidth="1"/>
    <col min="2" max="2" width="42.28515625" style="154" customWidth="1"/>
    <col min="3" max="3" width="0.28515625" style="55" customWidth="1" outlineLevel="1" collapsed="1"/>
    <col min="4" max="4" width="9" style="55" customWidth="1" outlineLevel="1"/>
    <col min="5" max="5" width="9" style="55" customWidth="1" outlineLevel="1" collapsed="1"/>
    <col min="6" max="6" width="29" style="55" customWidth="1" outlineLevel="1"/>
    <col min="7" max="7" width="13.5703125" style="55" customWidth="1" outlineLevel="1"/>
    <col min="8" max="8" width="32.85546875" style="55" customWidth="1" outlineLevel="1"/>
    <col min="9" max="9" width="16.7109375" style="55" customWidth="1" outlineLevel="1"/>
    <col min="10" max="10" width="29.85546875" style="55" customWidth="1" outlineLevel="1"/>
    <col min="11" max="11" width="17.140625" style="55" customWidth="1" outlineLevel="1"/>
    <col min="12" max="12" width="13.140625" style="55" customWidth="1" outlineLevel="1"/>
    <col min="13" max="13" width="18" style="55" customWidth="1" outlineLevel="1"/>
    <col min="14" max="14" width="26.7109375" style="55" customWidth="1" outlineLevel="1"/>
    <col min="15" max="15" width="24.85546875" style="55" customWidth="1" outlineLevel="1"/>
    <col min="16" max="16" width="19.7109375" style="55" customWidth="1" outlineLevel="1"/>
    <col min="17" max="17" width="14" style="55" customWidth="1" outlineLevel="1"/>
    <col min="18" max="18" width="9.85546875" style="55" customWidth="1" outlineLevel="1"/>
    <col min="19" max="19" width="14.42578125" style="55" hidden="1" customWidth="1" collapsed="1"/>
    <col min="20" max="20" width="20.5703125" style="154" customWidth="1"/>
    <col min="21" max="21" width="19.42578125" style="154" customWidth="1"/>
    <col min="22" max="22" width="20.7109375" style="154" customWidth="1"/>
    <col min="23" max="23" width="150.42578125" style="55" customWidth="1" collapsed="1"/>
    <col min="24" max="24" width="9.85546875" style="55" customWidth="1"/>
    <col min="25" max="25" width="14.140625" style="55" customWidth="1"/>
    <col min="26" max="26" width="15.42578125" style="55" customWidth="1"/>
    <col min="27" max="16384" width="9.140625" style="55"/>
  </cols>
  <sheetData>
    <row r="1" spans="1:23" x14ac:dyDescent="0.25">
      <c r="A1" s="59"/>
    </row>
    <row r="2" spans="1:23" ht="15" x14ac:dyDescent="0.25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</row>
    <row r="3" spans="1:23" ht="15" x14ac:dyDescent="0.25">
      <c r="A3" s="452" t="s">
        <v>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</row>
    <row r="4" spans="1:23" ht="15" x14ac:dyDescent="0.25">
      <c r="A4" s="452" t="s">
        <v>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</row>
    <row r="5" spans="1:23" ht="15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</row>
    <row r="6" spans="1:23" ht="15" x14ac:dyDescent="0.25">
      <c r="A6" s="450" t="s">
        <v>379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</row>
    <row r="7" spans="1:23" x14ac:dyDescent="0.25">
      <c r="A7" s="59"/>
    </row>
    <row r="8" spans="1:23" ht="40.5" customHeight="1" x14ac:dyDescent="0.25">
      <c r="A8" s="383" t="s">
        <v>24</v>
      </c>
      <c r="B8" s="448" t="s">
        <v>4</v>
      </c>
      <c r="C8" s="335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35"/>
      <c r="T8" s="448" t="s">
        <v>23</v>
      </c>
      <c r="U8" s="448"/>
      <c r="V8" s="448"/>
      <c r="W8" s="448" t="s">
        <v>120</v>
      </c>
    </row>
    <row r="9" spans="1:23" ht="30.75" customHeight="1" x14ac:dyDescent="0.25">
      <c r="A9" s="383"/>
      <c r="B9" s="448"/>
      <c r="C9" s="335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335"/>
      <c r="T9" s="249">
        <v>2024</v>
      </c>
      <c r="U9" s="249">
        <v>2025</v>
      </c>
      <c r="V9" s="249">
        <v>2026</v>
      </c>
      <c r="W9" s="448"/>
    </row>
    <row r="10" spans="1:23" ht="21.75" customHeight="1" x14ac:dyDescent="0.25">
      <c r="A10" s="335">
        <v>1</v>
      </c>
      <c r="B10" s="336">
        <v>2</v>
      </c>
      <c r="C10" s="335"/>
      <c r="D10" s="335"/>
      <c r="E10" s="335"/>
      <c r="F10" s="335"/>
      <c r="G10" s="335"/>
      <c r="H10" s="335"/>
      <c r="I10" s="335"/>
      <c r="J10" s="335"/>
      <c r="K10" s="335"/>
      <c r="L10" s="335"/>
      <c r="M10" s="335"/>
      <c r="N10" s="335"/>
      <c r="O10" s="335"/>
      <c r="P10" s="335"/>
      <c r="Q10" s="335"/>
      <c r="R10" s="335"/>
      <c r="S10" s="335"/>
      <c r="T10" s="336">
        <v>3</v>
      </c>
      <c r="U10" s="336">
        <v>4</v>
      </c>
      <c r="V10" s="336">
        <v>5</v>
      </c>
      <c r="W10" s="61">
        <v>6</v>
      </c>
    </row>
    <row r="11" spans="1:23" ht="82.5" customHeight="1" x14ac:dyDescent="0.25">
      <c r="A11" s="309">
        <v>1</v>
      </c>
      <c r="B11" s="257" t="s">
        <v>392</v>
      </c>
      <c r="C11" s="63"/>
      <c r="D11" s="342" t="s">
        <v>35</v>
      </c>
      <c r="E11" s="342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251">
        <f>T12</f>
        <v>2920520</v>
      </c>
      <c r="U11" s="251">
        <f t="shared" ref="U11:V11" si="0">U12</f>
        <v>3042590</v>
      </c>
      <c r="V11" s="251">
        <f t="shared" si="0"/>
        <v>3164850</v>
      </c>
      <c r="W11" s="338" t="str">
        <f>"Нормативные "&amp;TEXT(B11,"0")&amp;" включают в себя:
нормативные "&amp;TEXT(B12,"0")&amp;""</f>
        <v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v>
      </c>
    </row>
    <row r="12" spans="1:23" ht="73.5" customHeight="1" x14ac:dyDescent="0.25">
      <c r="A12" s="340" t="s">
        <v>5</v>
      </c>
      <c r="B12" s="337" t="s">
        <v>92</v>
      </c>
      <c r="C12" s="52"/>
      <c r="D12" s="342" t="s">
        <v>35</v>
      </c>
      <c r="E12" s="342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252">
        <f>SUM(T13,T17)</f>
        <v>2920520</v>
      </c>
      <c r="U12" s="252">
        <f t="shared" ref="U12:V12" si="1">SUM(U13,U17)</f>
        <v>3042590</v>
      </c>
      <c r="V12" s="252">
        <f t="shared" si="1"/>
        <v>3164850</v>
      </c>
      <c r="W12" s="338" t="str">
        <f>"Нормативные "&amp;TEXT(B12,"0")&amp;" включают в себя:
нормативные "&amp;TEXT(B13,"0")&amp;";
нормативные "&amp;TEXT(B17,"0")&amp;""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принтеров, многофункциональных устройств и копировальных аппаратов (оргтехники)</v>
      </c>
    </row>
    <row r="13" spans="1:23" ht="100.5" customHeight="1" x14ac:dyDescent="0.25">
      <c r="A13" s="454" t="s">
        <v>6</v>
      </c>
      <c r="B13" s="376" t="s">
        <v>91</v>
      </c>
      <c r="C13" s="52"/>
      <c r="D13" s="378">
        <v>346</v>
      </c>
      <c r="E13" s="378">
        <v>242</v>
      </c>
      <c r="F13" s="455" t="s">
        <v>241</v>
      </c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65"/>
      <c r="T13" s="381">
        <f>M14</f>
        <v>140940</v>
      </c>
      <c r="U13" s="381">
        <f>M15</f>
        <v>147380</v>
      </c>
      <c r="V13" s="381">
        <f>M16</f>
        <v>154120</v>
      </c>
      <c r="W13" s="338" t="s">
        <v>39</v>
      </c>
    </row>
    <row r="14" spans="1:23" ht="27.75" customHeight="1" x14ac:dyDescent="0.25">
      <c r="A14" s="454"/>
      <c r="B14" s="377"/>
      <c r="C14" s="52"/>
      <c r="D14" s="379"/>
      <c r="E14" s="379"/>
      <c r="F14" s="136" t="s">
        <v>226</v>
      </c>
      <c r="G14" s="70">
        <v>1</v>
      </c>
      <c r="H14" s="67" t="s">
        <v>253</v>
      </c>
      <c r="I14" s="278">
        <f>12418300*1.0822*1.0487</f>
        <v>14093567.663462</v>
      </c>
      <c r="J14" s="67" t="s">
        <v>41</v>
      </c>
      <c r="K14" s="343">
        <f>ROUND((G14%*I14),2)</f>
        <v>140935.67999999999</v>
      </c>
      <c r="L14" s="67" t="s">
        <v>41</v>
      </c>
      <c r="M14" s="70">
        <f>ROUNDUP((K14),-1)</f>
        <v>140940</v>
      </c>
      <c r="N14" s="71" t="s">
        <v>37</v>
      </c>
      <c r="O14" s="61"/>
      <c r="P14" s="61"/>
      <c r="Q14" s="61"/>
      <c r="R14" s="61"/>
      <c r="S14" s="65"/>
      <c r="T14" s="381"/>
      <c r="U14" s="381"/>
      <c r="V14" s="381"/>
      <c r="W14" s="338" t="str">
        <f>"норматив "&amp;TEXT(G14,"0,0")&amp;" % х "&amp;TEXT(I14,"0 000,00")&amp;" руб. = "&amp;TEXT(K14,"0 000,00")&amp;" руб. = "&amp;TEXT(M14,"0 000,00")&amp;" руб."</f>
        <v>норматив 1,0 % х 14 093 567,66 руб. = 140 935,68 руб. = 140 940,00 руб.</v>
      </c>
    </row>
    <row r="15" spans="1:23" ht="24" customHeight="1" x14ac:dyDescent="0.25">
      <c r="A15" s="454"/>
      <c r="B15" s="377"/>
      <c r="C15" s="52"/>
      <c r="D15" s="379"/>
      <c r="E15" s="379"/>
      <c r="F15" s="136" t="s">
        <v>240</v>
      </c>
      <c r="G15" s="70">
        <v>1</v>
      </c>
      <c r="H15" s="67" t="s">
        <v>253</v>
      </c>
      <c r="I15" s="278">
        <f>I14*1.0457</f>
        <v>14737643.705682214</v>
      </c>
      <c r="J15" s="67" t="s">
        <v>41</v>
      </c>
      <c r="K15" s="343">
        <f>ROUND((G15%*I15),2)</f>
        <v>147376.44</v>
      </c>
      <c r="L15" s="67" t="s">
        <v>41</v>
      </c>
      <c r="M15" s="70">
        <f>ROUNDUP((K15),-1)</f>
        <v>147380</v>
      </c>
      <c r="N15" s="71" t="s">
        <v>37</v>
      </c>
      <c r="O15" s="61"/>
      <c r="P15" s="61"/>
      <c r="Q15" s="61"/>
      <c r="R15" s="61"/>
      <c r="S15" s="65"/>
      <c r="T15" s="381"/>
      <c r="U15" s="381"/>
      <c r="V15" s="381"/>
      <c r="W15" s="338" t="str">
        <f>"норматив "&amp;TEXT(G15,"0,0")&amp;" % х "&amp;TEXT(I15,"0 000,00")&amp;" руб. = "&amp;TEXT(K15,"0 000,00")&amp;" руб. = "&amp;TEXT(M15,"0 000,00")&amp;" руб."</f>
        <v>норматив 1,0 % х 14 737 643,71 руб. = 147 376,44 руб. = 147 380,00 руб.</v>
      </c>
    </row>
    <row r="16" spans="1:23" ht="27" customHeight="1" x14ac:dyDescent="0.25">
      <c r="A16" s="454"/>
      <c r="B16" s="377"/>
      <c r="C16" s="52"/>
      <c r="D16" s="379"/>
      <c r="E16" s="379"/>
      <c r="F16" s="136" t="s">
        <v>380</v>
      </c>
      <c r="G16" s="70">
        <v>1</v>
      </c>
      <c r="H16" s="67" t="s">
        <v>253</v>
      </c>
      <c r="I16" s="278">
        <f>I15*1.0457</f>
        <v>15411154.023031892</v>
      </c>
      <c r="J16" s="67" t="s">
        <v>41</v>
      </c>
      <c r="K16" s="343">
        <f>ROUND((G16%*I16),2)</f>
        <v>154111.54</v>
      </c>
      <c r="L16" s="67" t="s">
        <v>41</v>
      </c>
      <c r="M16" s="70">
        <f>ROUNDUP((K16),-1)</f>
        <v>154120</v>
      </c>
      <c r="N16" s="71" t="s">
        <v>37</v>
      </c>
      <c r="O16" s="61"/>
      <c r="P16" s="61"/>
      <c r="Q16" s="61"/>
      <c r="R16" s="61"/>
      <c r="S16" s="65"/>
      <c r="T16" s="381"/>
      <c r="U16" s="381"/>
      <c r="V16" s="381"/>
      <c r="W16" s="338" t="str">
        <f>"норматив "&amp;TEXT(G16,"0,0")&amp;" % х "&amp;TEXT(I16,"0 000,00")&amp;" руб. = "&amp;TEXT(K16,"0 000,00")&amp;" руб. = "&amp;TEXT(M16,"0 000,00")&amp;" руб."</f>
        <v>норматив 1,0 % х 15 411 154,02 руб. = 154 111,54 руб. = 154 120,00 руб.</v>
      </c>
    </row>
    <row r="17" spans="1:23" ht="162.75" customHeight="1" x14ac:dyDescent="0.25">
      <c r="A17" s="454" t="s">
        <v>225</v>
      </c>
      <c r="B17" s="456" t="s">
        <v>386</v>
      </c>
      <c r="C17" s="64"/>
      <c r="D17" s="378">
        <v>346</v>
      </c>
      <c r="E17" s="378">
        <v>242</v>
      </c>
      <c r="F17" s="458" t="s">
        <v>384</v>
      </c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65"/>
      <c r="T17" s="381">
        <f>M19</f>
        <v>2779580</v>
      </c>
      <c r="U17" s="381">
        <f>M21</f>
        <v>2895210</v>
      </c>
      <c r="V17" s="381">
        <f>M23</f>
        <v>3010730</v>
      </c>
      <c r="W17" s="333" t="s">
        <v>387</v>
      </c>
    </row>
    <row r="18" spans="1:23" ht="15" x14ac:dyDescent="0.25">
      <c r="A18" s="454"/>
      <c r="B18" s="457"/>
      <c r="C18" s="64"/>
      <c r="D18" s="379"/>
      <c r="E18" s="379"/>
      <c r="F18" s="329" t="s">
        <v>229</v>
      </c>
      <c r="G18" s="278">
        <v>43499</v>
      </c>
      <c r="H18" s="67" t="s">
        <v>42</v>
      </c>
      <c r="I18" s="343">
        <v>213</v>
      </c>
      <c r="J18" s="67" t="s">
        <v>45</v>
      </c>
      <c r="K18" s="343">
        <v>5</v>
      </c>
      <c r="L18" s="67" t="s">
        <v>43</v>
      </c>
      <c r="M18" s="343">
        <v>0</v>
      </c>
      <c r="N18" s="67" t="s">
        <v>44</v>
      </c>
      <c r="O18" s="343">
        <f>ROUND((G18*(I18/K18+M18)),2)</f>
        <v>1853057.4</v>
      </c>
      <c r="P18" s="67" t="s">
        <v>37</v>
      </c>
      <c r="Q18" s="67"/>
      <c r="R18" s="65"/>
      <c r="S18" s="65"/>
      <c r="T18" s="381"/>
      <c r="U18" s="381"/>
      <c r="V18" s="381"/>
      <c r="W18" s="459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43 499,00 руб. х (213,00 шт.ед. : срок 5 лет + 0,00 шт.ед.) = 1 853 057,40 руб.) = 2 779 586,10 руб. = 2 779 580,00 руб.</v>
      </c>
    </row>
    <row r="19" spans="1:23" ht="15" x14ac:dyDescent="0.25">
      <c r="A19" s="454"/>
      <c r="B19" s="457"/>
      <c r="C19" s="64"/>
      <c r="D19" s="379"/>
      <c r="E19" s="379"/>
      <c r="F19" s="68" t="str">
        <f>F14</f>
        <v>норматив на 2024 год :</v>
      </c>
      <c r="G19" s="70">
        <v>150</v>
      </c>
      <c r="H19" s="67" t="s">
        <v>40</v>
      </c>
      <c r="I19" s="343">
        <f>O18</f>
        <v>1853057.4</v>
      </c>
      <c r="J19" s="67" t="s">
        <v>41</v>
      </c>
      <c r="K19" s="343">
        <f>ROUND((G19%*I19),2)</f>
        <v>2779586.1</v>
      </c>
      <c r="L19" s="67" t="s">
        <v>41</v>
      </c>
      <c r="M19" s="70">
        <f>ROUNDDOWN((K19),-1)</f>
        <v>2779580</v>
      </c>
      <c r="N19" s="71" t="s">
        <v>37</v>
      </c>
      <c r="O19" s="61"/>
      <c r="P19" s="61"/>
      <c r="Q19" s="61"/>
      <c r="R19" s="61"/>
      <c r="S19" s="65"/>
      <c r="T19" s="381"/>
      <c r="U19" s="381"/>
      <c r="V19" s="381"/>
      <c r="W19" s="460"/>
    </row>
    <row r="20" spans="1:23" ht="15" x14ac:dyDescent="0.25">
      <c r="A20" s="454"/>
      <c r="B20" s="457"/>
      <c r="C20" s="64"/>
      <c r="D20" s="379"/>
      <c r="E20" s="379"/>
      <c r="F20" s="329" t="s">
        <v>242</v>
      </c>
      <c r="G20" s="278">
        <v>45308.56</v>
      </c>
      <c r="H20" s="67" t="s">
        <v>42</v>
      </c>
      <c r="I20" s="343">
        <v>213</v>
      </c>
      <c r="J20" s="67" t="s">
        <v>45</v>
      </c>
      <c r="K20" s="343">
        <v>5</v>
      </c>
      <c r="L20" s="67" t="s">
        <v>43</v>
      </c>
      <c r="M20" s="343">
        <v>0</v>
      </c>
      <c r="N20" s="67" t="s">
        <v>44</v>
      </c>
      <c r="O20" s="343">
        <f>ROUND((G20*(I20/K20+M20)),2)</f>
        <v>1930144.66</v>
      </c>
      <c r="P20" s="67" t="s">
        <v>37</v>
      </c>
      <c r="Q20" s="67"/>
      <c r="R20" s="65"/>
      <c r="S20" s="65"/>
      <c r="T20" s="381"/>
      <c r="U20" s="381"/>
      <c r="V20" s="381"/>
      <c r="W20" s="459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45 308,56 руб. х (213,00 шт.ед. : срок 5 лет + 0,00 шт.ед.) = 1 930 144,66 руб.) = 2 895 216,99 руб. = 2 895 210,00 руб.</v>
      </c>
    </row>
    <row r="21" spans="1:23" ht="15" x14ac:dyDescent="0.25">
      <c r="A21" s="454"/>
      <c r="B21" s="457"/>
      <c r="C21" s="64"/>
      <c r="D21" s="379"/>
      <c r="E21" s="379"/>
      <c r="F21" s="68" t="str">
        <f>F15</f>
        <v>норматив на 2025 год :</v>
      </c>
      <c r="G21" s="70">
        <v>150</v>
      </c>
      <c r="H21" s="67" t="s">
        <v>40</v>
      </c>
      <c r="I21" s="343">
        <f>O20</f>
        <v>1930144.66</v>
      </c>
      <c r="J21" s="67" t="s">
        <v>41</v>
      </c>
      <c r="K21" s="343">
        <f>ROUND((G21%*I21),2)</f>
        <v>2895216.99</v>
      </c>
      <c r="L21" s="67" t="s">
        <v>41</v>
      </c>
      <c r="M21" s="70">
        <f>ROUNDDOWN((K21),-1)</f>
        <v>2895210</v>
      </c>
      <c r="N21" s="71" t="s">
        <v>37</v>
      </c>
      <c r="O21" s="61"/>
      <c r="P21" s="61"/>
      <c r="Q21" s="61"/>
      <c r="R21" s="61"/>
      <c r="S21" s="65"/>
      <c r="T21" s="442"/>
      <c r="U21" s="442"/>
      <c r="V21" s="442"/>
      <c r="W21" s="460"/>
    </row>
    <row r="22" spans="1:23" ht="15" x14ac:dyDescent="0.25">
      <c r="A22" s="454"/>
      <c r="B22" s="457"/>
      <c r="C22" s="64"/>
      <c r="D22" s="379"/>
      <c r="E22" s="379"/>
      <c r="F22" s="329" t="s">
        <v>381</v>
      </c>
      <c r="G22" s="278">
        <v>47116.37</v>
      </c>
      <c r="H22" s="67" t="s">
        <v>42</v>
      </c>
      <c r="I22" s="343">
        <v>213</v>
      </c>
      <c r="J22" s="67" t="s">
        <v>45</v>
      </c>
      <c r="K22" s="343">
        <v>5</v>
      </c>
      <c r="L22" s="67" t="s">
        <v>43</v>
      </c>
      <c r="M22" s="343">
        <v>0</v>
      </c>
      <c r="N22" s="67" t="s">
        <v>44</v>
      </c>
      <c r="O22" s="343">
        <f>ROUND((G22*(I22/K22+M22)),2)</f>
        <v>2007157.36</v>
      </c>
      <c r="P22" s="67" t="s">
        <v>37</v>
      </c>
      <c r="Q22" s="67"/>
      <c r="R22" s="65"/>
      <c r="S22" s="61"/>
      <c r="T22" s="442"/>
      <c r="U22" s="442"/>
      <c r="V22" s="442"/>
      <c r="W22" s="459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47 116,37 руб. х (213,00 шт.ед. : срок 5 лет + 0,00 шт.ед.) = 2 007 157,36 руб.) = 3 010 736,04 руб. = 3 010 730,00 руб.</v>
      </c>
    </row>
    <row r="23" spans="1:23" ht="21" customHeight="1" x14ac:dyDescent="0.25">
      <c r="A23" s="454"/>
      <c r="B23" s="457"/>
      <c r="C23" s="52"/>
      <c r="D23" s="379"/>
      <c r="E23" s="379"/>
      <c r="F23" s="68" t="str">
        <f>F16</f>
        <v>норматив на 2026 год :</v>
      </c>
      <c r="G23" s="70">
        <v>150</v>
      </c>
      <c r="H23" s="67" t="s">
        <v>40</v>
      </c>
      <c r="I23" s="343">
        <f>O22</f>
        <v>2007157.36</v>
      </c>
      <c r="J23" s="67" t="s">
        <v>41</v>
      </c>
      <c r="K23" s="129">
        <f>ROUND((G23%*I23),2)</f>
        <v>3010736.04</v>
      </c>
      <c r="L23" s="67" t="s">
        <v>41</v>
      </c>
      <c r="M23" s="70">
        <f>ROUNDDOWN((K23),-1)</f>
        <v>3010730</v>
      </c>
      <c r="N23" s="71" t="s">
        <v>37</v>
      </c>
      <c r="O23" s="61"/>
      <c r="P23" s="61"/>
      <c r="Q23" s="61"/>
      <c r="R23" s="61"/>
      <c r="S23" s="65"/>
      <c r="T23" s="442"/>
      <c r="U23" s="442"/>
      <c r="V23" s="442"/>
      <c r="W23" s="460"/>
    </row>
    <row r="24" spans="1:23" ht="158.25" customHeight="1" x14ac:dyDescent="0.25">
      <c r="A24" s="62">
        <v>2</v>
      </c>
      <c r="B24" s="257" t="s">
        <v>391</v>
      </c>
      <c r="C24" s="63"/>
      <c r="D24" s="248" t="s">
        <v>35</v>
      </c>
      <c r="E24" s="248" t="s">
        <v>35</v>
      </c>
      <c r="F24" s="439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251">
        <f>SUM(T31,T87,T112,T132,T187)</f>
        <v>15142234</v>
      </c>
      <c r="U24" s="251">
        <f t="shared" ref="U24:V24" si="2">SUM(U31,U87,U112,U132,U187)</f>
        <v>15810260</v>
      </c>
      <c r="V24" s="251">
        <f t="shared" si="2"/>
        <v>16497469</v>
      </c>
      <c r="W24" s="338" t="str">
        <f>"Нормативные "&amp;TEXT(B24,"0")&amp;" включают в себя:
нормативные "&amp;TEXT(B31,"0")&amp;";
нормативные "&amp;TEXT(B87,"0")&amp;";
нормативные "&amp;TEXT(B112,"0")&amp;";
нормативные "&amp;TEXT(B132,"0")&amp;";
нормативные "&amp;TEXT(B187,"0")&amp;""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25" spans="1:23" ht="68.25" customHeight="1" x14ac:dyDescent="0.25">
      <c r="A25" s="283" t="s">
        <v>9</v>
      </c>
      <c r="B25" s="348" t="s">
        <v>393</v>
      </c>
      <c r="C25" s="52"/>
      <c r="D25" s="248" t="s">
        <v>35</v>
      </c>
      <c r="E25" s="248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251">
        <f>T26+T31+T36+T41+T46+T51+T56+T61+T66+T71+T76</f>
        <v>580790</v>
      </c>
      <c r="U25" s="251">
        <f>U26+U31+U36+U41+U46+U51+U56+U61+U66+U71+U76</f>
        <v>607360</v>
      </c>
      <c r="V25" s="251">
        <f>V26+V31+V36+V41+V46+V51+V56+V61+V66+V71+V76</f>
        <v>635090</v>
      </c>
      <c r="W25" s="198" t="str">
        <f>"Нормативные "&amp;TEXT(B25,"0")&amp;" включают в себя:
нормативные "&amp;TEXT(B26,"0")&amp;""</f>
        <v>Нормативные Затраты на услуги связи включают в себя:
нормативные Затраты на оплату услуг почтовой связи</v>
      </c>
    </row>
    <row r="26" spans="1:23" ht="121.5" customHeight="1" x14ac:dyDescent="0.25">
      <c r="A26" s="375" t="s">
        <v>10</v>
      </c>
      <c r="B26" s="463" t="s">
        <v>394</v>
      </c>
      <c r="C26" s="64"/>
      <c r="D26" s="378">
        <v>225</v>
      </c>
      <c r="E26" s="378">
        <v>244</v>
      </c>
      <c r="F26" s="380" t="s">
        <v>395</v>
      </c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65"/>
      <c r="T26" s="381">
        <f>O28</f>
        <v>25800</v>
      </c>
      <c r="U26" s="381">
        <f>O29</f>
        <v>27000</v>
      </c>
      <c r="V26" s="381">
        <f>O30</f>
        <v>28200</v>
      </c>
      <c r="W26" s="346" t="s">
        <v>398</v>
      </c>
    </row>
    <row r="27" spans="1:23" ht="18" customHeight="1" outlineLevel="1" x14ac:dyDescent="0.25">
      <c r="A27" s="375"/>
      <c r="B27" s="464"/>
      <c r="C27" s="64"/>
      <c r="D27" s="379"/>
      <c r="E27" s="384"/>
      <c r="F27" s="61">
        <v>2024</v>
      </c>
      <c r="G27" s="345">
        <v>1</v>
      </c>
      <c r="H27" s="67" t="s">
        <v>396</v>
      </c>
      <c r="I27" s="345">
        <v>1</v>
      </c>
      <c r="J27" s="67"/>
      <c r="K27" s="345"/>
      <c r="L27" s="67" t="s">
        <v>41</v>
      </c>
      <c r="M27" s="345">
        <f>ROUND((G27*I27*K27),0)</f>
        <v>0</v>
      </c>
      <c r="N27" s="67" t="s">
        <v>37</v>
      </c>
      <c r="O27" s="67"/>
      <c r="P27" s="67"/>
      <c r="Q27" s="67"/>
      <c r="R27" s="65"/>
      <c r="S27" s="65"/>
      <c r="T27" s="381"/>
      <c r="U27" s="381"/>
      <c r="V27" s="381"/>
    </row>
    <row r="28" spans="1:23" ht="30" customHeight="1" x14ac:dyDescent="0.25">
      <c r="A28" s="375"/>
      <c r="B28" s="464"/>
      <c r="C28" s="64"/>
      <c r="D28" s="379"/>
      <c r="E28" s="384"/>
      <c r="F28" s="68" t="str">
        <f>F8</f>
        <v>РАСЧЕТ</v>
      </c>
      <c r="G28" s="345">
        <v>1</v>
      </c>
      <c r="H28" s="65" t="s">
        <v>397</v>
      </c>
      <c r="I28" s="345">
        <v>1</v>
      </c>
      <c r="J28" s="67"/>
      <c r="K28" s="349">
        <f>25783</f>
        <v>25783</v>
      </c>
      <c r="L28" s="67" t="s">
        <v>41</v>
      </c>
      <c r="M28" s="70">
        <f>ROUNDUP((K28),-1)</f>
        <v>25790</v>
      </c>
      <c r="N28" s="71" t="s">
        <v>37</v>
      </c>
      <c r="O28" s="70">
        <f>ROUNDUP((M28),-2)</f>
        <v>25800</v>
      </c>
      <c r="P28" s="71" t="s">
        <v>37</v>
      </c>
      <c r="Q28" s="72"/>
      <c r="R28" s="72"/>
      <c r="S28" s="65"/>
      <c r="T28" s="381"/>
      <c r="U28" s="381"/>
      <c r="V28" s="381"/>
      <c r="W28" s="344" t="str">
        <f>""&amp;TEXT(I28,"0,0")&amp;"у.ед.  х "&amp;TEXT(ROUND((K28),2),"0 000,00")&amp;" руб. = "&amp;TEXT(ROUND((M28),2),"0 000,00")&amp;" руб. = "&amp;TEXT(O28,"0 000,00")&amp;" руб."</f>
        <v>1,0у.ед.  х 25 783,00 руб. = 25 790,00 руб. = 25 800,00 руб.</v>
      </c>
    </row>
    <row r="29" spans="1:23" ht="30" customHeight="1" x14ac:dyDescent="0.25">
      <c r="A29" s="375"/>
      <c r="B29" s="464"/>
      <c r="C29" s="64"/>
      <c r="D29" s="379"/>
      <c r="E29" s="384"/>
      <c r="F29" s="68">
        <f>F9</f>
        <v>0</v>
      </c>
      <c r="G29" s="345">
        <v>1</v>
      </c>
      <c r="H29" s="67" t="str">
        <f>H28</f>
        <v>у.ед.</v>
      </c>
      <c r="I29" s="345">
        <v>1</v>
      </c>
      <c r="J29" s="67"/>
      <c r="K29" s="349">
        <f>K28*1.0457</f>
        <v>26961.283100000001</v>
      </c>
      <c r="L29" s="67" t="s">
        <v>41</v>
      </c>
      <c r="M29" s="70">
        <f t="shared" ref="M29:M30" si="3">ROUNDUP((K29),-1)</f>
        <v>26970</v>
      </c>
      <c r="N29" s="71" t="s">
        <v>37</v>
      </c>
      <c r="O29" s="70">
        <f t="shared" ref="O29:O30" si="4">ROUNDUP((M29),-2)</f>
        <v>27000</v>
      </c>
      <c r="P29" s="71" t="s">
        <v>37</v>
      </c>
      <c r="Q29" s="72"/>
      <c r="R29" s="72"/>
      <c r="S29" s="72"/>
      <c r="T29" s="381"/>
      <c r="U29" s="381"/>
      <c r="V29" s="381"/>
      <c r="W29" s="344" t="str">
        <f t="shared" ref="W29:W30" si="5">""&amp;TEXT(I29,"0,0")&amp;"у.ед.  х "&amp;TEXT(ROUND((K29),2),"0 000,00")&amp;" руб. = "&amp;TEXT(ROUND((M29),2),"0 000,00")&amp;" руб. = "&amp;TEXT(O29,"0 000,00")&amp;" руб."</f>
        <v>1,0у.ед.  х 26 961,28 руб. = 26 970,00 руб. = 27 000,00 руб.</v>
      </c>
    </row>
    <row r="30" spans="1:23" ht="30" customHeight="1" x14ac:dyDescent="0.25">
      <c r="A30" s="375"/>
      <c r="B30" s="464"/>
      <c r="C30" s="64"/>
      <c r="D30" s="379"/>
      <c r="E30" s="384"/>
      <c r="F30" s="68">
        <f>F10</f>
        <v>0</v>
      </c>
      <c r="G30" s="345">
        <v>1</v>
      </c>
      <c r="H30" s="67" t="str">
        <f>H28</f>
        <v>у.ед.</v>
      </c>
      <c r="I30" s="345">
        <v>1</v>
      </c>
      <c r="J30" s="67"/>
      <c r="K30" s="349">
        <f>K29*1.0457</f>
        <v>28193.413737670002</v>
      </c>
      <c r="L30" s="67" t="s">
        <v>41</v>
      </c>
      <c r="M30" s="70">
        <f t="shared" si="3"/>
        <v>28200</v>
      </c>
      <c r="N30" s="71" t="s">
        <v>37</v>
      </c>
      <c r="O30" s="70">
        <f t="shared" si="4"/>
        <v>28200</v>
      </c>
      <c r="P30" s="71" t="s">
        <v>37</v>
      </c>
      <c r="Q30" s="70"/>
      <c r="R30" s="71"/>
      <c r="S30" s="71"/>
      <c r="T30" s="381"/>
      <c r="U30" s="381"/>
      <c r="V30" s="381"/>
      <c r="W30" s="344" t="str">
        <f t="shared" si="5"/>
        <v>1,0у.ед.  х 28 193,41 руб. = 28 200,00 руб. = 28 200,00 руб.</v>
      </c>
    </row>
    <row r="31" spans="1:23" ht="137.25" customHeight="1" x14ac:dyDescent="0.25">
      <c r="A31" s="283" t="s">
        <v>12</v>
      </c>
      <c r="B31" s="337" t="s">
        <v>117</v>
      </c>
      <c r="C31" s="52"/>
      <c r="D31" s="248" t="s">
        <v>35</v>
      </c>
      <c r="E31" s="248" t="s">
        <v>35</v>
      </c>
      <c r="F31" s="423"/>
      <c r="G31" s="424"/>
      <c r="H31" s="424"/>
      <c r="I31" s="424"/>
      <c r="J31" s="424"/>
      <c r="K31" s="424"/>
      <c r="L31" s="424"/>
      <c r="M31" s="424"/>
      <c r="N31" s="424"/>
      <c r="O31" s="424"/>
      <c r="P31" s="424"/>
      <c r="Q31" s="424"/>
      <c r="R31" s="424"/>
      <c r="S31" s="424"/>
      <c r="T31" s="251">
        <f>T32+T37+T42+T47+T52+T57+T62+T67+T72+T77+T82</f>
        <v>554990</v>
      </c>
      <c r="U31" s="251">
        <f>U32+U37+U42+U47+U52+U57+U62+U67+U72+U77+U82</f>
        <v>580360</v>
      </c>
      <c r="V31" s="251">
        <f>V32+V37+V42+V47+V52+V57+V62+V67+V72+V77+V82</f>
        <v>606890</v>
      </c>
      <c r="W31" s="338" t="str">
        <f>"Нормативные "&amp;TEXT(B31,"0")&amp;" включают в себя:
нормативные "&amp;TEXT(B32,"0")&amp;";   нормативные "&amp;TEXT(B37,"0")&amp;";  нормативные "&amp;TEXT(B42,"0")&amp;";  нормативные "&amp;TEXT(B47,"0")&amp;";  нормативные "&amp;TEXT(B52,"0")&amp;";  нормативные "&amp;TEXT(B57,"0")&amp;";  нормативные "&amp;TEXT(B62,"0")&amp;";  нормативные "&amp;TEXT(B67,"0")&amp;";   нормативные "&amp;TEXT(B72,"0")&amp;";  нормативные "&amp;TEXT(B77,"0")&amp;"; нормативные "&amp;TEXT(B82,"0")&amp;""</f>
        <v>Нормативные затраты на содержание имущества включают в себя:
нормативные затраты на  техническое обслуживание и ремонт  транспортных средств;   нормативные затраты на технический осмотр автомобиля;  нормативные затраты на ремонт автомобиля;  нормативные затраты по  техническому обслуживанию систем кондиционирования;  нормативные затраты по ремонту систем кондиционирования;  нормативные затраты по техническому обслуживанию охранно-тревожной сигнализации;  нормативные затраты по техническому обслуживанию счетчика банкнот;  нормативные затраты по вывозу и утилизации отработанных картриджей;   нормативные затраты по вывозу и утилизации огнетушителей;  нормативные затраты на перезарядку огнетушителей; нормативные затраты на перетяжку мебели</v>
      </c>
    </row>
    <row r="32" spans="1:23" ht="120" customHeight="1" x14ac:dyDescent="0.25">
      <c r="A32" s="375" t="s">
        <v>10</v>
      </c>
      <c r="B32" s="461" t="s">
        <v>388</v>
      </c>
      <c r="C32" s="64"/>
      <c r="D32" s="378">
        <v>225</v>
      </c>
      <c r="E32" s="378">
        <v>244</v>
      </c>
      <c r="F32" s="380" t="s">
        <v>246</v>
      </c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65"/>
      <c r="T32" s="381">
        <f>O34</f>
        <v>17480</v>
      </c>
      <c r="U32" s="381">
        <f>O35</f>
        <v>18280</v>
      </c>
      <c r="V32" s="381">
        <f>O36</f>
        <v>19120</v>
      </c>
      <c r="W32" s="334" t="s">
        <v>389</v>
      </c>
    </row>
    <row r="33" spans="1:23" ht="18" customHeight="1" outlineLevel="1" x14ac:dyDescent="0.25">
      <c r="A33" s="375"/>
      <c r="B33" s="462"/>
      <c r="C33" s="64"/>
      <c r="D33" s="379"/>
      <c r="E33" s="384"/>
      <c r="F33" s="61">
        <v>2022</v>
      </c>
      <c r="G33" s="343">
        <v>1</v>
      </c>
      <c r="H33" s="67" t="s">
        <v>81</v>
      </c>
      <c r="I33" s="343">
        <v>1</v>
      </c>
      <c r="J33" s="67" t="s">
        <v>73</v>
      </c>
      <c r="K33" s="343"/>
      <c r="L33" s="67" t="s">
        <v>41</v>
      </c>
      <c r="M33" s="343">
        <f>ROUND((G33*I33*K33),0)</f>
        <v>0</v>
      </c>
      <c r="N33" s="67" t="s">
        <v>37</v>
      </c>
      <c r="O33" s="67"/>
      <c r="P33" s="67"/>
      <c r="Q33" s="67"/>
      <c r="R33" s="65"/>
      <c r="S33" s="65"/>
      <c r="T33" s="381"/>
      <c r="U33" s="381"/>
      <c r="V33" s="381"/>
    </row>
    <row r="34" spans="1:23" ht="30" customHeight="1" x14ac:dyDescent="0.25">
      <c r="A34" s="375"/>
      <c r="B34" s="462"/>
      <c r="C34" s="64"/>
      <c r="D34" s="379"/>
      <c r="E34" s="384"/>
      <c r="F34" s="68" t="str">
        <f>F14</f>
        <v>норматив на 2024 год :</v>
      </c>
      <c r="G34" s="343">
        <v>1</v>
      </c>
      <c r="H34" s="65" t="s">
        <v>254</v>
      </c>
      <c r="I34" s="343">
        <v>1</v>
      </c>
      <c r="J34" s="67" t="str">
        <f>J33</f>
        <v>раз х средняя цена</v>
      </c>
      <c r="K34" s="330">
        <f>16666.67*1.0487</f>
        <v>17478.336828999996</v>
      </c>
      <c r="L34" s="67" t="s">
        <v>41</v>
      </c>
      <c r="M34" s="343">
        <f>ROUND((G34*I34*K34),0)</f>
        <v>17478</v>
      </c>
      <c r="N34" s="71" t="s">
        <v>37</v>
      </c>
      <c r="O34" s="70">
        <f>ROUNDUP((M34),-1)</f>
        <v>17480</v>
      </c>
      <c r="P34" s="71" t="s">
        <v>37</v>
      </c>
      <c r="Q34" s="72"/>
      <c r="R34" s="72"/>
      <c r="S34" s="65"/>
      <c r="T34" s="381"/>
      <c r="U34" s="381"/>
      <c r="V34" s="381"/>
      <c r="W34" s="338" t="str">
        <f>""&amp;TEXT(I34,"0,0")&amp;" авт. х "&amp;TEXT(I34,"0,0")&amp;" раз х "&amp;TEXT(ROUND((K34),2),"0 000,00")&amp;" руб. = "&amp;TEXT(ROUND((M34),2),"0 000,00")&amp;" руб. = "&amp;TEXT(O34,"0 000,00")&amp;" руб."</f>
        <v>1,0 авт. х 1,0 раз х 17 478,34 руб. = 17 478,00 руб. = 17 480,00 руб.</v>
      </c>
    </row>
    <row r="35" spans="1:23" ht="30" customHeight="1" x14ac:dyDescent="0.25">
      <c r="A35" s="375"/>
      <c r="B35" s="462"/>
      <c r="C35" s="64"/>
      <c r="D35" s="379"/>
      <c r="E35" s="384"/>
      <c r="F35" s="68" t="str">
        <f>F15</f>
        <v>норматив на 2025 год :</v>
      </c>
      <c r="G35" s="343">
        <v>1</v>
      </c>
      <c r="H35" s="67" t="str">
        <f>H34</f>
        <v xml:space="preserve">авт.  </v>
      </c>
      <c r="I35" s="343">
        <v>1</v>
      </c>
      <c r="J35" s="67" t="str">
        <f>J33</f>
        <v>раз х средняя цена</v>
      </c>
      <c r="K35" s="330">
        <f>K34*1.0457</f>
        <v>18277.096822085296</v>
      </c>
      <c r="L35" s="67" t="s">
        <v>41</v>
      </c>
      <c r="M35" s="343">
        <f>ROUND((G35*I35*K35),0)</f>
        <v>18277</v>
      </c>
      <c r="N35" s="71" t="s">
        <v>37</v>
      </c>
      <c r="O35" s="70">
        <f>ROUNDUP((M35),-1)</f>
        <v>18280</v>
      </c>
      <c r="P35" s="71" t="s">
        <v>37</v>
      </c>
      <c r="Q35" s="72"/>
      <c r="R35" s="72"/>
      <c r="S35" s="72"/>
      <c r="T35" s="381"/>
      <c r="U35" s="381"/>
      <c r="V35" s="381"/>
      <c r="W35" s="338" t="str">
        <f t="shared" ref="W35:W36" si="6">""&amp;TEXT(I35,"0,0")&amp;" авт. х "&amp;TEXT(I35,"0,0")&amp;" раз х "&amp;TEXT(ROUND((K35),2),"0 000,00")&amp;" руб. = "&amp;TEXT(ROUND((M35),2),"0 000,00")&amp;" руб. = "&amp;TEXT(O35,"0 000,00")&amp;" руб."</f>
        <v>1,0 авт. х 1,0 раз х 18 277,10 руб. = 18 277,00 руб. = 18 280,00 руб.</v>
      </c>
    </row>
    <row r="36" spans="1:23" ht="30" customHeight="1" x14ac:dyDescent="0.25">
      <c r="A36" s="375"/>
      <c r="B36" s="462"/>
      <c r="C36" s="64"/>
      <c r="D36" s="379"/>
      <c r="E36" s="384"/>
      <c r="F36" s="68" t="str">
        <f>F16</f>
        <v>норматив на 2026 год :</v>
      </c>
      <c r="G36" s="343">
        <v>1</v>
      </c>
      <c r="H36" s="67" t="str">
        <f>H34</f>
        <v xml:space="preserve">авт.  </v>
      </c>
      <c r="I36" s="343">
        <v>1</v>
      </c>
      <c r="J36" s="67" t="str">
        <f>J33</f>
        <v>раз х средняя цена</v>
      </c>
      <c r="K36" s="330">
        <f>K35*1.0457</f>
        <v>19112.360146854597</v>
      </c>
      <c r="L36" s="67" t="s">
        <v>41</v>
      </c>
      <c r="M36" s="343">
        <f>ROUND((G36*I36*K36),0)</f>
        <v>19112</v>
      </c>
      <c r="N36" s="71" t="s">
        <v>37</v>
      </c>
      <c r="O36" s="70">
        <f>ROUNDUP((M36),-1)</f>
        <v>19120</v>
      </c>
      <c r="P36" s="71" t="s">
        <v>37</v>
      </c>
      <c r="Q36" s="70"/>
      <c r="R36" s="71"/>
      <c r="S36" s="71"/>
      <c r="T36" s="381"/>
      <c r="U36" s="381"/>
      <c r="V36" s="381"/>
      <c r="W36" s="338" t="str">
        <f t="shared" si="6"/>
        <v>1,0 авт. х 1,0 раз х 19 112,36 руб. = 19 112,00 руб. = 19 120,00 руб.</v>
      </c>
    </row>
    <row r="37" spans="1:23" ht="120.75" customHeight="1" x14ac:dyDescent="0.25">
      <c r="A37" s="375" t="s">
        <v>11</v>
      </c>
      <c r="B37" s="465" t="s">
        <v>114</v>
      </c>
      <c r="C37" s="64"/>
      <c r="D37" s="378">
        <v>225</v>
      </c>
      <c r="E37" s="378">
        <v>244</v>
      </c>
      <c r="F37" s="380" t="s">
        <v>245</v>
      </c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65"/>
      <c r="T37" s="381">
        <f>O39</f>
        <v>1380</v>
      </c>
      <c r="U37" s="381">
        <f>O40</f>
        <v>1450</v>
      </c>
      <c r="V37" s="381">
        <f>O41</f>
        <v>1510</v>
      </c>
      <c r="W37" s="338" t="s">
        <v>82</v>
      </c>
    </row>
    <row r="38" spans="1:23" ht="21.75" customHeight="1" outlineLevel="1" x14ac:dyDescent="0.25">
      <c r="A38" s="375"/>
      <c r="B38" s="466"/>
      <c r="C38" s="64"/>
      <c r="D38" s="379"/>
      <c r="E38" s="379"/>
      <c r="F38" s="61">
        <v>2022</v>
      </c>
      <c r="G38" s="343">
        <v>1</v>
      </c>
      <c r="H38" s="67" t="s">
        <v>81</v>
      </c>
      <c r="I38" s="343">
        <v>1</v>
      </c>
      <c r="J38" s="67" t="s">
        <v>255</v>
      </c>
      <c r="K38" s="343">
        <v>1215.02</v>
      </c>
      <c r="L38" s="67" t="s">
        <v>41</v>
      </c>
      <c r="M38" s="343">
        <f>ROUND((G38*I38*K38),2)</f>
        <v>1215.02</v>
      </c>
      <c r="N38" s="67" t="s">
        <v>37</v>
      </c>
      <c r="O38" s="70">
        <f>ROUNDUP((M38),-1)</f>
        <v>1220</v>
      </c>
      <c r="P38" s="67"/>
      <c r="Q38" s="67"/>
      <c r="R38" s="65"/>
      <c r="S38" s="65"/>
      <c r="T38" s="381"/>
      <c r="U38" s="381"/>
      <c r="V38" s="381"/>
    </row>
    <row r="39" spans="1:23" ht="26.25" customHeight="1" x14ac:dyDescent="0.25">
      <c r="A39" s="375"/>
      <c r="B39" s="466"/>
      <c r="C39" s="64"/>
      <c r="D39" s="379"/>
      <c r="E39" s="379"/>
      <c r="F39" s="68" t="str">
        <f>F14</f>
        <v>норматив на 2024 год :</v>
      </c>
      <c r="G39" s="343">
        <v>1</v>
      </c>
      <c r="H39" s="67" t="s">
        <v>81</v>
      </c>
      <c r="I39" s="69">
        <v>1</v>
      </c>
      <c r="J39" s="67" t="str">
        <f>J38</f>
        <v xml:space="preserve">раз х средняя цена </v>
      </c>
      <c r="K39" s="330">
        <f>K38*1.0822*1.0487</f>
        <v>1378.9300131627999</v>
      </c>
      <c r="L39" s="67" t="s">
        <v>41</v>
      </c>
      <c r="M39" s="343">
        <f>ROUND((G39*I39*K39),0)</f>
        <v>1379</v>
      </c>
      <c r="N39" s="71" t="s">
        <v>37</v>
      </c>
      <c r="O39" s="70">
        <f>ROUNDUP((M39),-1)</f>
        <v>1380</v>
      </c>
      <c r="P39" s="71" t="s">
        <v>37</v>
      </c>
      <c r="Q39" s="72"/>
      <c r="R39" s="72"/>
      <c r="S39" s="65"/>
      <c r="T39" s="381"/>
      <c r="U39" s="381"/>
      <c r="V39" s="381"/>
      <c r="W39" s="338" t="str">
        <f>""&amp;TEXT(G39,"0,0")&amp;" авт. х "&amp;TEXT(I39,"0,0")&amp;" раз х "&amp;TEXT(ROUND((K39),2),"000,00")&amp;" руб. = "&amp;TEXT(ROUND((M39),2),"000,00")&amp;" руб. = "&amp;TEXT(O39,"0 000,00")&amp;" руб."</f>
        <v>1,0 авт. х 1,0 раз х 1378,93 руб. = 1379,00 руб. = 1 380,00 руб.</v>
      </c>
    </row>
    <row r="40" spans="1:23" ht="26.25" customHeight="1" x14ac:dyDescent="0.25">
      <c r="A40" s="375"/>
      <c r="B40" s="466"/>
      <c r="C40" s="64"/>
      <c r="D40" s="379"/>
      <c r="E40" s="379"/>
      <c r="F40" s="68" t="str">
        <f>F15</f>
        <v>норматив на 2025 год :</v>
      </c>
      <c r="G40" s="343">
        <v>1</v>
      </c>
      <c r="H40" s="67" t="s">
        <v>81</v>
      </c>
      <c r="I40" s="69">
        <v>1</v>
      </c>
      <c r="J40" s="67" t="str">
        <f>J38</f>
        <v xml:space="preserve">раз х средняя цена </v>
      </c>
      <c r="K40" s="330">
        <f>K39*1.0457</f>
        <v>1441.9471147643401</v>
      </c>
      <c r="L40" s="67" t="s">
        <v>41</v>
      </c>
      <c r="M40" s="343">
        <f>ROUND((G40*I40*K40),0)</f>
        <v>1442</v>
      </c>
      <c r="N40" s="67" t="s">
        <v>41</v>
      </c>
      <c r="O40" s="70">
        <f>ROUNDUP((M40),-1)</f>
        <v>1450</v>
      </c>
      <c r="P40" s="71" t="s">
        <v>37</v>
      </c>
      <c r="Q40" s="72"/>
      <c r="R40" s="72"/>
      <c r="S40" s="65"/>
      <c r="T40" s="381"/>
      <c r="U40" s="381"/>
      <c r="V40" s="381"/>
      <c r="W40" s="338" t="str">
        <f t="shared" ref="W40:W41" si="7">""&amp;TEXT(G40,"0,0")&amp;" авт. х "&amp;TEXT(I40,"0,0")&amp;" раз х "&amp;TEXT(ROUND((K40),2),"000,00")&amp;" руб. = "&amp;TEXT(ROUND((M40),2),"000,00")&amp;" руб. = "&amp;TEXT(O40,"0 000,00")&amp;" руб."</f>
        <v>1,0 авт. х 1,0 раз х 1441,95 руб. = 1442,00 руб. = 1 450,00 руб.</v>
      </c>
    </row>
    <row r="41" spans="1:23" ht="26.25" customHeight="1" x14ac:dyDescent="0.25">
      <c r="A41" s="375"/>
      <c r="B41" s="466"/>
      <c r="C41" s="64"/>
      <c r="D41" s="379"/>
      <c r="E41" s="379"/>
      <c r="F41" s="68" t="str">
        <f>F16</f>
        <v>норматив на 2026 год :</v>
      </c>
      <c r="G41" s="343">
        <v>1</v>
      </c>
      <c r="H41" s="67" t="s">
        <v>81</v>
      </c>
      <c r="I41" s="69">
        <v>1</v>
      </c>
      <c r="J41" s="67" t="str">
        <f>J38</f>
        <v xml:space="preserve">раз х средняя цена </v>
      </c>
      <c r="K41" s="330">
        <f>K40*1.0457</f>
        <v>1507.8440979090706</v>
      </c>
      <c r="L41" s="67" t="s">
        <v>41</v>
      </c>
      <c r="M41" s="343">
        <f>ROUND((G41*I41*K41),0)</f>
        <v>1508</v>
      </c>
      <c r="N41" s="67" t="s">
        <v>25</v>
      </c>
      <c r="O41" s="70">
        <f>ROUNDUP((M41),-1)</f>
        <v>1510</v>
      </c>
      <c r="P41" s="71" t="s">
        <v>37</v>
      </c>
      <c r="Q41" s="70"/>
      <c r="R41" s="71"/>
      <c r="S41" s="65"/>
      <c r="T41" s="382"/>
      <c r="U41" s="382"/>
      <c r="V41" s="382"/>
      <c r="W41" s="338" t="str">
        <f t="shared" si="7"/>
        <v>1,0 авт. х 1,0 раз х 1507,84 руб. = 1508,00 руб. = 1 510,00 руб.</v>
      </c>
    </row>
    <row r="42" spans="1:23" ht="117.75" customHeight="1" x14ac:dyDescent="0.25">
      <c r="A42" s="383" t="s">
        <v>203</v>
      </c>
      <c r="B42" s="467" t="s">
        <v>202</v>
      </c>
      <c r="C42" s="64"/>
      <c r="D42" s="378">
        <v>225</v>
      </c>
      <c r="E42" s="378">
        <v>244</v>
      </c>
      <c r="F42" s="380" t="s">
        <v>246</v>
      </c>
      <c r="G42" s="380"/>
      <c r="H42" s="380"/>
      <c r="I42" s="380"/>
      <c r="J42" s="380"/>
      <c r="K42" s="380"/>
      <c r="L42" s="380"/>
      <c r="M42" s="380"/>
      <c r="N42" s="380"/>
      <c r="O42" s="380"/>
      <c r="P42" s="380"/>
      <c r="Q42" s="380"/>
      <c r="R42" s="380"/>
      <c r="S42" s="65"/>
      <c r="T42" s="381">
        <f>O44</f>
        <v>12590</v>
      </c>
      <c r="U42" s="381">
        <f>O45</f>
        <v>13160</v>
      </c>
      <c r="V42" s="381">
        <f>O46</f>
        <v>13770</v>
      </c>
      <c r="W42" s="338" t="s">
        <v>212</v>
      </c>
    </row>
    <row r="43" spans="1:23" ht="21.75" customHeight="1" outlineLevel="1" x14ac:dyDescent="0.25">
      <c r="A43" s="383"/>
      <c r="B43" s="377"/>
      <c r="C43" s="64"/>
      <c r="D43" s="379"/>
      <c r="E43" s="379"/>
      <c r="F43" s="61"/>
      <c r="G43" s="343">
        <v>1</v>
      </c>
      <c r="H43" s="67" t="s">
        <v>81</v>
      </c>
      <c r="I43" s="343">
        <v>1</v>
      </c>
      <c r="J43" s="67" t="s">
        <v>255</v>
      </c>
      <c r="K43" s="343"/>
      <c r="L43" s="67" t="s">
        <v>41</v>
      </c>
      <c r="M43" s="343">
        <f>ROUND((G43*I43*K43),0)</f>
        <v>0</v>
      </c>
      <c r="N43" s="67" t="s">
        <v>37</v>
      </c>
      <c r="O43" s="70">
        <f>ROUNDUP((M43),-1)</f>
        <v>0</v>
      </c>
      <c r="P43" s="67"/>
      <c r="Q43" s="67"/>
      <c r="R43" s="65"/>
      <c r="S43" s="65"/>
      <c r="T43" s="381"/>
      <c r="U43" s="381"/>
      <c r="V43" s="381"/>
    </row>
    <row r="44" spans="1:23" ht="27" customHeight="1" x14ac:dyDescent="0.25">
      <c r="A44" s="383"/>
      <c r="B44" s="377"/>
      <c r="C44" s="64"/>
      <c r="D44" s="379"/>
      <c r="E44" s="379"/>
      <c r="F44" s="68" t="str">
        <f>F14</f>
        <v>норматив на 2024 год :</v>
      </c>
      <c r="G44" s="343">
        <v>1</v>
      </c>
      <c r="H44" s="67" t="s">
        <v>81</v>
      </c>
      <c r="I44" s="69">
        <v>1</v>
      </c>
      <c r="J44" s="67" t="str">
        <f>J43</f>
        <v xml:space="preserve">раз х средняя цена </v>
      </c>
      <c r="K44" s="330">
        <f>12000*1.0487</f>
        <v>12584.4</v>
      </c>
      <c r="L44" s="67" t="s">
        <v>41</v>
      </c>
      <c r="M44" s="343">
        <f>ROUND((G44*I44*K44),0)</f>
        <v>12584</v>
      </c>
      <c r="N44" s="71" t="s">
        <v>37</v>
      </c>
      <c r="O44" s="70">
        <f>ROUNDUP((M44),-1)</f>
        <v>12590</v>
      </c>
      <c r="P44" s="71" t="s">
        <v>37</v>
      </c>
      <c r="Q44" s="72"/>
      <c r="R44" s="72"/>
      <c r="S44" s="65"/>
      <c r="T44" s="381"/>
      <c r="U44" s="381"/>
      <c r="V44" s="381"/>
      <c r="W44" s="338" t="str">
        <f>""&amp;TEXT(G44,"0,0")&amp;" авт. х "&amp;TEXT(I44,"0,0")&amp;" раз. х  "&amp;TEXT((K44),"000,00")&amp;" руб. = "&amp;TEXT((M44),"0 000,00")&amp;" руб. = "&amp;TEXT(O44,"0 000,00")&amp;" руб."</f>
        <v>1,0 авт. х 1,0 раз. х  12584,40 руб. = 12 584,00 руб. = 12 590,00 руб.</v>
      </c>
    </row>
    <row r="45" spans="1:23" ht="27" customHeight="1" x14ac:dyDescent="0.25">
      <c r="A45" s="383"/>
      <c r="B45" s="377"/>
      <c r="C45" s="64"/>
      <c r="D45" s="379"/>
      <c r="E45" s="379"/>
      <c r="F45" s="68" t="str">
        <f>F15</f>
        <v>норматив на 2025 год :</v>
      </c>
      <c r="G45" s="343">
        <v>1</v>
      </c>
      <c r="H45" s="67" t="s">
        <v>81</v>
      </c>
      <c r="I45" s="69">
        <v>1</v>
      </c>
      <c r="J45" s="67" t="str">
        <f>J43</f>
        <v xml:space="preserve">раз х средняя цена </v>
      </c>
      <c r="K45" s="330">
        <f>K44*1.0457</f>
        <v>13159.507080000001</v>
      </c>
      <c r="L45" s="67" t="s">
        <v>41</v>
      </c>
      <c r="M45" s="343">
        <f>ROUND((G45*I45*K45),0)</f>
        <v>13160</v>
      </c>
      <c r="N45" s="71" t="s">
        <v>37</v>
      </c>
      <c r="O45" s="70">
        <f>ROUNDUP((M45),-1)</f>
        <v>13160</v>
      </c>
      <c r="P45" s="71" t="s">
        <v>37</v>
      </c>
      <c r="Q45" s="72"/>
      <c r="R45" s="72"/>
      <c r="S45" s="65"/>
      <c r="T45" s="381"/>
      <c r="U45" s="381"/>
      <c r="V45" s="381"/>
      <c r="W45" s="338" t="str">
        <f>""&amp;TEXT(G45,"0,0")&amp;" авт. х "&amp;TEXT(I45,"0,0")&amp;" раз. х  "&amp;TEXT((K45),"000,00")&amp;" руб. = "&amp;TEXT((M45),"0 000,00")&amp;" руб. = "&amp;TEXT(O45,"0 000,00")&amp;" руб."</f>
        <v>1,0 авт. х 1,0 раз. х  13159,51 руб. = 13 160,00 руб. = 13 160,00 руб.</v>
      </c>
    </row>
    <row r="46" spans="1:23" ht="27" customHeight="1" x14ac:dyDescent="0.25">
      <c r="A46" s="383"/>
      <c r="B46" s="377"/>
      <c r="C46" s="64"/>
      <c r="D46" s="379"/>
      <c r="E46" s="379"/>
      <c r="F46" s="68" t="str">
        <f>F16</f>
        <v>норматив на 2026 год :</v>
      </c>
      <c r="G46" s="343">
        <v>1</v>
      </c>
      <c r="H46" s="67" t="s">
        <v>81</v>
      </c>
      <c r="I46" s="69">
        <v>1</v>
      </c>
      <c r="J46" s="67" t="str">
        <f>J43</f>
        <v xml:space="preserve">раз х средняя цена </v>
      </c>
      <c r="K46" s="330">
        <f>K45*1.0457</f>
        <v>13760.896553556002</v>
      </c>
      <c r="L46" s="67" t="s">
        <v>41</v>
      </c>
      <c r="M46" s="343">
        <f>ROUND((G46*I46*K46),0)</f>
        <v>13761</v>
      </c>
      <c r="N46" s="71" t="s">
        <v>37</v>
      </c>
      <c r="O46" s="70">
        <f>ROUNDUP((M46),-1)</f>
        <v>13770</v>
      </c>
      <c r="P46" s="71" t="s">
        <v>37</v>
      </c>
      <c r="Q46" s="70"/>
      <c r="R46" s="71"/>
      <c r="S46" s="65"/>
      <c r="T46" s="382"/>
      <c r="U46" s="382"/>
      <c r="V46" s="382"/>
      <c r="W46" s="338" t="str">
        <f>""&amp;TEXT(G46,"0,0")&amp;" авт. х "&amp;TEXT(I46,"0,0")&amp;" раз. х  "&amp;TEXT((K46),"000,00")&amp;" руб. = "&amp;TEXT((M46),"0 000,00")&amp;" руб. = "&amp;TEXT(O46,"0 000,00")&amp;" руб."</f>
        <v>1,0 авт. х 1,0 раз. х  13760,90 руб. = 13 761,00 руб. = 13 770,00 руб.</v>
      </c>
    </row>
    <row r="47" spans="1:23" s="75" customFormat="1" ht="135.75" customHeight="1" x14ac:dyDescent="0.25">
      <c r="A47" s="383" t="s">
        <v>341</v>
      </c>
      <c r="B47" s="376" t="s">
        <v>233</v>
      </c>
      <c r="C47" s="56"/>
      <c r="D47" s="378">
        <v>225</v>
      </c>
      <c r="E47" s="378">
        <v>244</v>
      </c>
      <c r="F47" s="380" t="s">
        <v>244</v>
      </c>
      <c r="G47" s="380"/>
      <c r="H47" s="380"/>
      <c r="I47" s="380"/>
      <c r="J47" s="380"/>
      <c r="K47" s="380"/>
      <c r="L47" s="380"/>
      <c r="M47" s="380"/>
      <c r="N47" s="380"/>
      <c r="O47" s="380"/>
      <c r="P47" s="380"/>
      <c r="Q47" s="380"/>
      <c r="R47" s="380"/>
      <c r="S47" s="343"/>
      <c r="T47" s="381">
        <f>O49</f>
        <v>170240</v>
      </c>
      <c r="U47" s="381">
        <f>O50</f>
        <v>178020</v>
      </c>
      <c r="V47" s="381">
        <f>O51</f>
        <v>186160</v>
      </c>
      <c r="W47" s="338" t="s">
        <v>84</v>
      </c>
    </row>
    <row r="48" spans="1:23" ht="15" customHeight="1" outlineLevel="1" x14ac:dyDescent="0.25">
      <c r="A48" s="383"/>
      <c r="B48" s="377"/>
      <c r="C48" s="64"/>
      <c r="D48" s="379"/>
      <c r="E48" s="384"/>
      <c r="F48" s="76"/>
      <c r="G48" s="343"/>
      <c r="H48" s="67" t="s">
        <v>77</v>
      </c>
      <c r="I48" s="343">
        <v>1</v>
      </c>
      <c r="J48" s="67" t="s">
        <v>67</v>
      </c>
      <c r="K48" s="343"/>
      <c r="L48" s="67" t="s">
        <v>41</v>
      </c>
      <c r="M48" s="343"/>
      <c r="N48" s="67" t="s">
        <v>37</v>
      </c>
      <c r="P48" s="77" t="s">
        <v>145</v>
      </c>
      <c r="Q48" s="78"/>
      <c r="R48" s="61"/>
      <c r="S48" s="65"/>
      <c r="T48" s="381"/>
      <c r="U48" s="381"/>
      <c r="V48" s="381"/>
      <c r="W48" s="338"/>
    </row>
    <row r="49" spans="1:23" ht="28.5" customHeight="1" x14ac:dyDescent="0.25">
      <c r="A49" s="383"/>
      <c r="B49" s="377"/>
      <c r="C49" s="64"/>
      <c r="D49" s="379"/>
      <c r="E49" s="384"/>
      <c r="F49" s="68" t="str">
        <f>F14</f>
        <v>норматив на 2024 год :</v>
      </c>
      <c r="G49" s="343">
        <v>26</v>
      </c>
      <c r="H49" s="67" t="s">
        <v>77</v>
      </c>
      <c r="I49" s="69">
        <v>1</v>
      </c>
      <c r="J49" s="67" t="s">
        <v>67</v>
      </c>
      <c r="K49" s="331">
        <f>6243.6*1.0487</f>
        <v>6547.6633200000006</v>
      </c>
      <c r="L49" s="67" t="s">
        <v>41</v>
      </c>
      <c r="M49" s="343">
        <f>ROUND((G49*I49*K49),0)</f>
        <v>170239</v>
      </c>
      <c r="N49" s="67" t="s">
        <v>37</v>
      </c>
      <c r="O49" s="70">
        <f>ROUNDUP((M49),-1)</f>
        <v>170240</v>
      </c>
      <c r="P49" s="71" t="s">
        <v>37</v>
      </c>
      <c r="Q49" s="72"/>
      <c r="R49" s="61"/>
      <c r="S49" s="72"/>
      <c r="T49" s="381"/>
      <c r="U49" s="381"/>
      <c r="V49" s="381"/>
      <c r="W49" s="338" t="str">
        <f>""&amp;TEXT(G49,"0,0")&amp;" шт. х "&amp;TEXT(I49,"0,0")&amp;" раз. х  "&amp;TEXT((K49),"000,00")&amp;" руб. = "&amp;TEXT((M49),"0 000,00")&amp;" руб. = "&amp;TEXT(O49,"0 000,00")&amp;" руб."</f>
        <v>26,0 шт. х 1,0 раз. х  6547,66 руб. = 170 239,00 руб. = 170 240,00 руб.</v>
      </c>
    </row>
    <row r="50" spans="1:23" ht="28.5" customHeight="1" x14ac:dyDescent="0.25">
      <c r="A50" s="383"/>
      <c r="B50" s="377"/>
      <c r="C50" s="64"/>
      <c r="D50" s="379"/>
      <c r="E50" s="384"/>
      <c r="F50" s="68" t="str">
        <f>F15</f>
        <v>норматив на 2025 год :</v>
      </c>
      <c r="G50" s="343">
        <v>26</v>
      </c>
      <c r="H50" s="67" t="s">
        <v>77</v>
      </c>
      <c r="I50" s="69">
        <v>1</v>
      </c>
      <c r="J50" s="67" t="s">
        <v>67</v>
      </c>
      <c r="K50" s="278">
        <f>K49*1.0457</f>
        <v>6846.8915337240014</v>
      </c>
      <c r="L50" s="67" t="s">
        <v>41</v>
      </c>
      <c r="M50" s="343">
        <f>ROUND((G50*I50*K50),0)</f>
        <v>178019</v>
      </c>
      <c r="N50" s="67" t="s">
        <v>37</v>
      </c>
      <c r="O50" s="70">
        <f>ROUNDUP((M50),-1)</f>
        <v>178020</v>
      </c>
      <c r="P50" s="71" t="s">
        <v>37</v>
      </c>
      <c r="Q50" s="72"/>
      <c r="R50" s="61"/>
      <c r="S50" s="72"/>
      <c r="T50" s="381"/>
      <c r="U50" s="381"/>
      <c r="V50" s="381"/>
      <c r="W50" s="338" t="str">
        <f t="shared" ref="W50:W51" si="8">""&amp;TEXT(G50,"0,0")&amp;" шт. х "&amp;TEXT(I50,"0,0")&amp;" раз. х  "&amp;TEXT((K50),"000,00")&amp;" руб. = "&amp;TEXT((M50),"0 000,00")&amp;" руб. = "&amp;TEXT(O50,"0 000,00")&amp;" руб."</f>
        <v>26,0 шт. х 1,0 раз. х  6846,89 руб. = 178 019,00 руб. = 178 020,00 руб.</v>
      </c>
    </row>
    <row r="51" spans="1:23" ht="28.5" customHeight="1" x14ac:dyDescent="0.25">
      <c r="A51" s="383"/>
      <c r="B51" s="377"/>
      <c r="C51" s="64"/>
      <c r="D51" s="379"/>
      <c r="E51" s="384"/>
      <c r="F51" s="68" t="str">
        <f>F16</f>
        <v>норматив на 2026 год :</v>
      </c>
      <c r="G51" s="343">
        <v>26</v>
      </c>
      <c r="H51" s="67" t="s">
        <v>77</v>
      </c>
      <c r="I51" s="69">
        <v>1</v>
      </c>
      <c r="J51" s="67" t="s">
        <v>67</v>
      </c>
      <c r="K51" s="278">
        <f>K50*1.0457</f>
        <v>7159.7944768151892</v>
      </c>
      <c r="L51" s="67" t="s">
        <v>41</v>
      </c>
      <c r="M51" s="343">
        <f>ROUND((G51*I51*K51),0)</f>
        <v>186155</v>
      </c>
      <c r="N51" s="67" t="s">
        <v>37</v>
      </c>
      <c r="O51" s="70">
        <f>ROUNDUP((M51),-1)</f>
        <v>186160</v>
      </c>
      <c r="P51" s="71" t="s">
        <v>37</v>
      </c>
      <c r="Q51" s="70"/>
      <c r="R51" s="61"/>
      <c r="S51" s="71"/>
      <c r="T51" s="382"/>
      <c r="U51" s="382"/>
      <c r="V51" s="382"/>
      <c r="W51" s="338" t="str">
        <f t="shared" si="8"/>
        <v>26,0 шт. х 1,0 раз. х  7159,79 руб. = 186 155,00 руб. = 186 160,00 руб.</v>
      </c>
    </row>
    <row r="52" spans="1:23" s="75" customFormat="1" ht="124.5" customHeight="1" x14ac:dyDescent="0.25">
      <c r="A52" s="383" t="s">
        <v>342</v>
      </c>
      <c r="B52" s="376" t="s">
        <v>217</v>
      </c>
      <c r="C52" s="56"/>
      <c r="D52" s="378">
        <v>225</v>
      </c>
      <c r="E52" s="378">
        <v>244</v>
      </c>
      <c r="F52" s="380" t="s">
        <v>257</v>
      </c>
      <c r="G52" s="380"/>
      <c r="H52" s="380"/>
      <c r="I52" s="380"/>
      <c r="J52" s="380"/>
      <c r="K52" s="380"/>
      <c r="L52" s="380"/>
      <c r="M52" s="380"/>
      <c r="N52" s="380"/>
      <c r="O52" s="380"/>
      <c r="P52" s="380"/>
      <c r="Q52" s="380"/>
      <c r="R52" s="380"/>
      <c r="S52" s="343"/>
      <c r="T52" s="381">
        <f>O54</f>
        <v>20980</v>
      </c>
      <c r="U52" s="381">
        <f>O55</f>
        <v>21940</v>
      </c>
      <c r="V52" s="381">
        <f>O56</f>
        <v>22940</v>
      </c>
      <c r="W52" s="338" t="s">
        <v>378</v>
      </c>
    </row>
    <row r="53" spans="1:23" ht="27.75" customHeight="1" outlineLevel="1" x14ac:dyDescent="0.25">
      <c r="A53" s="383"/>
      <c r="B53" s="377"/>
      <c r="C53" s="64"/>
      <c r="D53" s="379"/>
      <c r="E53" s="384"/>
      <c r="F53" s="76">
        <v>2023</v>
      </c>
      <c r="G53" s="343">
        <v>1</v>
      </c>
      <c r="H53" s="67" t="s">
        <v>258</v>
      </c>
      <c r="I53" s="343">
        <v>1</v>
      </c>
      <c r="J53" s="67" t="s">
        <v>259</v>
      </c>
      <c r="K53" s="343"/>
      <c r="L53" s="67" t="s">
        <v>41</v>
      </c>
      <c r="M53" s="343">
        <f>ROUND((G53*I53*K53),0)</f>
        <v>0</v>
      </c>
      <c r="N53" s="67" t="s">
        <v>37</v>
      </c>
      <c r="O53" s="70">
        <f>ROUNDUP((M53),-1)</f>
        <v>0</v>
      </c>
      <c r="P53" s="71" t="s">
        <v>37</v>
      </c>
      <c r="Q53" s="78"/>
      <c r="R53" s="61"/>
      <c r="S53" s="65"/>
      <c r="T53" s="381"/>
      <c r="U53" s="381"/>
      <c r="V53" s="381"/>
      <c r="W53" s="338"/>
    </row>
    <row r="54" spans="1:23" ht="32.25" customHeight="1" x14ac:dyDescent="0.25">
      <c r="A54" s="383"/>
      <c r="B54" s="377"/>
      <c r="C54" s="64"/>
      <c r="D54" s="379"/>
      <c r="E54" s="384"/>
      <c r="F54" s="68" t="str">
        <f>F14</f>
        <v>норматив на 2024 год :</v>
      </c>
      <c r="G54" s="343">
        <v>1</v>
      </c>
      <c r="H54" s="67" t="s">
        <v>258</v>
      </c>
      <c r="I54" s="69">
        <v>1</v>
      </c>
      <c r="J54" s="67" t="s">
        <v>259</v>
      </c>
      <c r="K54" s="278">
        <f>20000*1.0487</f>
        <v>20974</v>
      </c>
      <c r="L54" s="67" t="s">
        <v>41</v>
      </c>
      <c r="M54" s="343">
        <f>ROUND((G54*I54*K54),0)</f>
        <v>20974</v>
      </c>
      <c r="N54" s="71" t="s">
        <v>37</v>
      </c>
      <c r="O54" s="70">
        <f>ROUNDUP((M54),-1)</f>
        <v>20980</v>
      </c>
      <c r="P54" s="71" t="s">
        <v>37</v>
      </c>
      <c r="Q54" s="72"/>
      <c r="R54" s="72"/>
      <c r="S54" s="65"/>
      <c r="T54" s="381"/>
      <c r="U54" s="381"/>
      <c r="V54" s="381"/>
      <c r="W54" s="338" t="str">
        <f>""&amp;TEXT(G54,"0,0")&amp;"  у.ед. х "&amp;TEXT(I54,"0,0")&amp;" раз х  "&amp;TEXT((K54),"000,00")&amp;" руб. = "&amp;TEXT((M54),"0 000,00")&amp;" руб. = "&amp;TEXT(O54,"0 000,00")&amp;" руб."</f>
        <v>1,0  у.ед. х 1,0 раз х  20974,00 руб. = 20 974,00 руб. = 20 980,00 руб.</v>
      </c>
    </row>
    <row r="55" spans="1:23" ht="24" customHeight="1" x14ac:dyDescent="0.25">
      <c r="A55" s="383"/>
      <c r="B55" s="377"/>
      <c r="C55" s="64"/>
      <c r="D55" s="379"/>
      <c r="E55" s="384"/>
      <c r="F55" s="68" t="str">
        <f>F15</f>
        <v>норматив на 2025 год :</v>
      </c>
      <c r="G55" s="343">
        <v>1</v>
      </c>
      <c r="H55" s="67" t="s">
        <v>258</v>
      </c>
      <c r="I55" s="69">
        <v>1</v>
      </c>
      <c r="J55" s="67" t="s">
        <v>259</v>
      </c>
      <c r="K55" s="330">
        <f>K54*1.0457</f>
        <v>21932.5118</v>
      </c>
      <c r="L55" s="67" t="s">
        <v>41</v>
      </c>
      <c r="M55" s="343">
        <f>ROUND((G55*I55*K55),0)</f>
        <v>21933</v>
      </c>
      <c r="N55" s="71" t="s">
        <v>37</v>
      </c>
      <c r="O55" s="70">
        <f>ROUNDUP((M55),-1)</f>
        <v>21940</v>
      </c>
      <c r="P55" s="71" t="s">
        <v>37</v>
      </c>
      <c r="Q55" s="72"/>
      <c r="R55" s="72"/>
      <c r="S55" s="65"/>
      <c r="T55" s="381"/>
      <c r="U55" s="381"/>
      <c r="V55" s="381"/>
      <c r="W55" s="338" t="str">
        <f>""&amp;TEXT(G55,"0,0")&amp;"  у.ед. х "&amp;TEXT(I55,"0,0")&amp;" раз х  "&amp;TEXT((K55),"000,00")&amp;" руб. = "&amp;TEXT((M55),"0 000,00")&amp;" руб. = "&amp;TEXT(O55,"0 000,00")&amp;" руб."</f>
        <v>1,0  у.ед. х 1,0 раз х  21932,51 руб. = 21 933,00 руб. = 21 940,00 руб.</v>
      </c>
    </row>
    <row r="56" spans="1:23" ht="28.5" customHeight="1" x14ac:dyDescent="0.25">
      <c r="A56" s="383"/>
      <c r="B56" s="377"/>
      <c r="C56" s="64"/>
      <c r="D56" s="379"/>
      <c r="E56" s="384"/>
      <c r="F56" s="68" t="str">
        <f>F16</f>
        <v>норматив на 2026 год :</v>
      </c>
      <c r="G56" s="343">
        <v>1</v>
      </c>
      <c r="H56" s="67" t="s">
        <v>258</v>
      </c>
      <c r="I56" s="69">
        <v>1</v>
      </c>
      <c r="J56" s="67" t="s">
        <v>259</v>
      </c>
      <c r="K56" s="330">
        <f>K55*1.0457</f>
        <v>22934.827589260003</v>
      </c>
      <c r="L56" s="67" t="s">
        <v>41</v>
      </c>
      <c r="M56" s="343">
        <f>ROUND((G56*I56*K56),0)</f>
        <v>22935</v>
      </c>
      <c r="N56" s="71" t="s">
        <v>37</v>
      </c>
      <c r="O56" s="70">
        <f>ROUNDUP((M56),-1)</f>
        <v>22940</v>
      </c>
      <c r="P56" s="71" t="s">
        <v>37</v>
      </c>
      <c r="Q56" s="70"/>
      <c r="R56" s="71"/>
      <c r="S56" s="65"/>
      <c r="T56" s="382"/>
      <c r="U56" s="382"/>
      <c r="V56" s="382"/>
      <c r="W56" s="338" t="str">
        <f>""&amp;TEXT(G56,"0,0")&amp;"  у.ед. х "&amp;TEXT(I56,"0,0")&amp;" раз х  "&amp;TEXT((K56),"000,00")&amp;" руб. = "&amp;TEXT((M56),"0 000,00")&amp;" руб. = "&amp;TEXT(O56,"0 000,00")&amp;" руб."</f>
        <v>1,0  у.ед. х 1,0 раз х  22934,83 руб. = 22 935,00 руб. = 22 940,00 руб.</v>
      </c>
    </row>
    <row r="57" spans="1:23" ht="134.25" customHeight="1" x14ac:dyDescent="0.25">
      <c r="A57" s="383" t="s">
        <v>343</v>
      </c>
      <c r="B57" s="376" t="s">
        <v>111</v>
      </c>
      <c r="C57" s="64"/>
      <c r="D57" s="378">
        <v>225</v>
      </c>
      <c r="E57" s="378">
        <v>244</v>
      </c>
      <c r="F57" s="380" t="s">
        <v>246</v>
      </c>
      <c r="G57" s="380"/>
      <c r="H57" s="380"/>
      <c r="I57" s="380"/>
      <c r="J57" s="380"/>
      <c r="K57" s="380"/>
      <c r="L57" s="380"/>
      <c r="M57" s="380"/>
      <c r="N57" s="380"/>
      <c r="O57" s="380"/>
      <c r="P57" s="380"/>
      <c r="Q57" s="380"/>
      <c r="R57" s="380"/>
      <c r="S57" s="65"/>
      <c r="T57" s="381">
        <f>O59</f>
        <v>48230</v>
      </c>
      <c r="U57" s="381">
        <f>O60</f>
        <v>50440</v>
      </c>
      <c r="V57" s="381">
        <f>O61</f>
        <v>52740</v>
      </c>
      <c r="W57" s="338" t="s">
        <v>377</v>
      </c>
    </row>
    <row r="58" spans="1:23" ht="19.5" customHeight="1" outlineLevel="1" x14ac:dyDescent="0.25">
      <c r="A58" s="383"/>
      <c r="B58" s="377"/>
      <c r="C58" s="64"/>
      <c r="D58" s="379"/>
      <c r="E58" s="384"/>
      <c r="F58" s="61"/>
      <c r="G58" s="343">
        <v>8760</v>
      </c>
      <c r="H58" s="65" t="s">
        <v>375</v>
      </c>
      <c r="I58" s="343"/>
      <c r="J58" s="67" t="s">
        <v>250</v>
      </c>
      <c r="K58" s="343"/>
      <c r="L58" s="67" t="s">
        <v>41</v>
      </c>
      <c r="M58" s="343">
        <f>ROUND((G58*I58*K58),2)</f>
        <v>0</v>
      </c>
      <c r="N58" s="67" t="s">
        <v>37</v>
      </c>
      <c r="O58" s="67"/>
      <c r="P58" s="67"/>
      <c r="Q58" s="67"/>
      <c r="R58" s="65"/>
      <c r="S58" s="65"/>
      <c r="T58" s="381"/>
      <c r="U58" s="381"/>
      <c r="V58" s="381"/>
      <c r="W58" s="338"/>
    </row>
    <row r="59" spans="1:23" ht="21" customHeight="1" x14ac:dyDescent="0.25">
      <c r="A59" s="383"/>
      <c r="B59" s="377"/>
      <c r="C59" s="64"/>
      <c r="D59" s="379"/>
      <c r="E59" s="384"/>
      <c r="F59" s="68" t="str">
        <f>F14</f>
        <v>норматив на 2024 год :</v>
      </c>
      <c r="G59" s="343">
        <v>8760</v>
      </c>
      <c r="H59" s="65" t="s">
        <v>375</v>
      </c>
      <c r="I59" s="278">
        <f>5.25*1.0487</f>
        <v>5.5056750000000001</v>
      </c>
      <c r="J59" s="67" t="str">
        <f>J58</f>
        <v>руб. цена одного часа</v>
      </c>
      <c r="K59" s="343">
        <f t="shared" ref="K59:K61" si="9">I59*G59</f>
        <v>48229.713000000003</v>
      </c>
      <c r="L59" s="67" t="s">
        <v>41</v>
      </c>
      <c r="M59" s="343">
        <f t="shared" ref="M59:M61" si="10">ROUND((K59),0)</f>
        <v>48230</v>
      </c>
      <c r="N59" s="71" t="s">
        <v>37</v>
      </c>
      <c r="O59" s="70">
        <f>ROUNDUP((M59),-1)</f>
        <v>48230</v>
      </c>
      <c r="P59" s="71" t="s">
        <v>37</v>
      </c>
      <c r="Q59" s="72"/>
      <c r="R59" s="72"/>
      <c r="S59" s="65"/>
      <c r="T59" s="381"/>
      <c r="U59" s="381"/>
      <c r="V59" s="381"/>
      <c r="W59" s="338" t="str">
        <f>""&amp;TEXT(G59,"0,0")&amp;" шт. х "&amp;TEXT(I59,"0,0")&amp;" мес. х "&amp;TEXT(ROUND((K59),2),"0 000,00")&amp;" руб. = "&amp;TEXT(ROUND(((M59)),2),"0 000,00")&amp;" руб. = "&amp;TEXT(O59,"0 000,00")&amp;" руб."</f>
        <v>8760,0 шт. х 5,5 мес. х 48 229,71 руб. = 48 230,00 руб. = 48 230,00 руб.</v>
      </c>
    </row>
    <row r="60" spans="1:23" ht="21" customHeight="1" x14ac:dyDescent="0.25">
      <c r="A60" s="383"/>
      <c r="B60" s="377"/>
      <c r="C60" s="64"/>
      <c r="D60" s="379"/>
      <c r="E60" s="384"/>
      <c r="F60" s="68" t="str">
        <f>F15</f>
        <v>норматив на 2025 год :</v>
      </c>
      <c r="G60" s="343">
        <v>8760</v>
      </c>
      <c r="H60" s="65" t="s">
        <v>375</v>
      </c>
      <c r="I60" s="330">
        <f>I59*1.0457</f>
        <v>5.7572843475000006</v>
      </c>
      <c r="J60" s="67" t="str">
        <f t="shared" ref="J60:J61" si="11">J59</f>
        <v>руб. цена одного часа</v>
      </c>
      <c r="K60" s="343">
        <f t="shared" si="9"/>
        <v>50433.810884100007</v>
      </c>
      <c r="L60" s="67" t="s">
        <v>41</v>
      </c>
      <c r="M60" s="343">
        <f t="shared" si="10"/>
        <v>50434</v>
      </c>
      <c r="N60" s="71" t="s">
        <v>37</v>
      </c>
      <c r="O60" s="70">
        <f>ROUNDUP((M60),-1)</f>
        <v>50440</v>
      </c>
      <c r="P60" s="71" t="s">
        <v>37</v>
      </c>
      <c r="Q60" s="72"/>
      <c r="R60" s="72"/>
      <c r="S60" s="65"/>
      <c r="T60" s="381"/>
      <c r="U60" s="381"/>
      <c r="V60" s="381"/>
      <c r="W60" s="338" t="str">
        <f>""&amp;TEXT(G60,"0,0")&amp;" шт. х "&amp;TEXT(I60,"0,0")&amp;" мес. х "&amp;TEXT(ROUND((K60),2),"0 000,00")&amp;" руб. = "&amp;TEXT(ROUND(((M60)),2),"0 000,00")&amp;" руб. = "&amp;TEXT(O60,"0 000,00")&amp;" руб."</f>
        <v>8760,0 шт. х 5,8 мес. х 50 433,81 руб. = 50 434,00 руб. = 50 440,00 руб.</v>
      </c>
    </row>
    <row r="61" spans="1:23" ht="21" customHeight="1" x14ac:dyDescent="0.25">
      <c r="A61" s="383"/>
      <c r="B61" s="377"/>
      <c r="C61" s="64"/>
      <c r="D61" s="379"/>
      <c r="E61" s="384"/>
      <c r="F61" s="68" t="str">
        <f>F16</f>
        <v>норматив на 2026 год :</v>
      </c>
      <c r="G61" s="343">
        <v>8760</v>
      </c>
      <c r="H61" s="65" t="s">
        <v>375</v>
      </c>
      <c r="I61" s="330">
        <f>I60*1.0457</f>
        <v>6.0203922421807512</v>
      </c>
      <c r="J61" s="67" t="str">
        <f t="shared" si="11"/>
        <v>руб. цена одного часа</v>
      </c>
      <c r="K61" s="343">
        <f t="shared" si="9"/>
        <v>52738.636041503378</v>
      </c>
      <c r="L61" s="67" t="s">
        <v>41</v>
      </c>
      <c r="M61" s="343">
        <f t="shared" si="10"/>
        <v>52739</v>
      </c>
      <c r="N61" s="71" t="s">
        <v>37</v>
      </c>
      <c r="O61" s="70">
        <f>ROUNDUP((M61),-1)</f>
        <v>52740</v>
      </c>
      <c r="P61" s="71" t="s">
        <v>37</v>
      </c>
      <c r="Q61" s="70"/>
      <c r="R61" s="71"/>
      <c r="S61" s="65"/>
      <c r="T61" s="382"/>
      <c r="U61" s="382"/>
      <c r="V61" s="382"/>
      <c r="W61" s="338" t="str">
        <f>""&amp;TEXT(G61,"0,0")&amp;" шт. х "&amp;TEXT(I61,"0,0")&amp;" мес. х "&amp;TEXT(ROUND((K61),2),"0 000,00")&amp;" руб. = "&amp;TEXT(ROUND(((M61)),2),"0 000,00")&amp;" руб. = "&amp;TEXT(O61,"0 000,00")&amp;" руб."</f>
        <v>8760,0 шт. х 6,0 мес. х 52 738,64 руб. = 52 739,00 руб. = 52 740,00 руб.</v>
      </c>
    </row>
    <row r="62" spans="1:23" ht="134.25" customHeight="1" x14ac:dyDescent="0.25">
      <c r="A62" s="383" t="s">
        <v>344</v>
      </c>
      <c r="B62" s="376" t="s">
        <v>116</v>
      </c>
      <c r="C62" s="64"/>
      <c r="D62" s="378">
        <v>225</v>
      </c>
      <c r="E62" s="378">
        <v>244</v>
      </c>
      <c r="F62" s="380" t="s">
        <v>245</v>
      </c>
      <c r="G62" s="380"/>
      <c r="H62" s="380"/>
      <c r="I62" s="380"/>
      <c r="J62" s="380"/>
      <c r="K62" s="380"/>
      <c r="L62" s="380"/>
      <c r="M62" s="380"/>
      <c r="N62" s="380"/>
      <c r="O62" s="380"/>
      <c r="P62" s="380"/>
      <c r="Q62" s="380"/>
      <c r="R62" s="380"/>
      <c r="S62" s="65"/>
      <c r="T62" s="381">
        <f>O64</f>
        <v>6720</v>
      </c>
      <c r="U62" s="381">
        <f>O65</f>
        <v>7030</v>
      </c>
      <c r="V62" s="381">
        <f>O66</f>
        <v>7350</v>
      </c>
      <c r="W62" s="338" t="s">
        <v>85</v>
      </c>
    </row>
    <row r="63" spans="1:23" ht="21.75" customHeight="1" outlineLevel="1" x14ac:dyDescent="0.25">
      <c r="A63" s="383"/>
      <c r="B63" s="377"/>
      <c r="C63" s="64"/>
      <c r="D63" s="379"/>
      <c r="E63" s="384"/>
      <c r="F63" s="61">
        <v>2022</v>
      </c>
      <c r="G63" s="343">
        <v>1</v>
      </c>
      <c r="H63" s="67" t="s">
        <v>77</v>
      </c>
      <c r="I63" s="139">
        <v>4</v>
      </c>
      <c r="J63" s="67" t="s">
        <v>67</v>
      </c>
      <c r="K63" s="343">
        <v>1479.08</v>
      </c>
      <c r="L63" s="67" t="s">
        <v>41</v>
      </c>
      <c r="M63" s="343">
        <f>ROUND((G63*I63*K63),0)</f>
        <v>5916</v>
      </c>
      <c r="N63" s="67" t="s">
        <v>37</v>
      </c>
      <c r="O63" s="70">
        <f>ROUNDUP((M63),-1)</f>
        <v>5920</v>
      </c>
      <c r="P63" s="71" t="s">
        <v>37</v>
      </c>
      <c r="Q63" s="67"/>
      <c r="R63" s="65"/>
      <c r="S63" s="65"/>
      <c r="T63" s="381"/>
      <c r="U63" s="381"/>
      <c r="V63" s="381"/>
      <c r="W63" s="338"/>
    </row>
    <row r="64" spans="1:23" ht="22.5" customHeight="1" x14ac:dyDescent="0.25">
      <c r="A64" s="383"/>
      <c r="B64" s="377"/>
      <c r="C64" s="64"/>
      <c r="D64" s="379"/>
      <c r="E64" s="384"/>
      <c r="F64" s="68" t="str">
        <f>F14</f>
        <v>норматив на 2024 год :</v>
      </c>
      <c r="G64" s="343">
        <v>1</v>
      </c>
      <c r="H64" s="67" t="s">
        <v>77</v>
      </c>
      <c r="I64" s="139">
        <v>4</v>
      </c>
      <c r="J64" s="67" t="s">
        <v>67</v>
      </c>
      <c r="K64" s="330">
        <f>K63*1.0822*1.0487</f>
        <v>1678.6125363112001</v>
      </c>
      <c r="L64" s="67" t="s">
        <v>41</v>
      </c>
      <c r="M64" s="343">
        <f t="shared" ref="M64:M66" si="12">ROUND((G64*I64*K64),0)</f>
        <v>6714</v>
      </c>
      <c r="N64" s="71" t="s">
        <v>37</v>
      </c>
      <c r="O64" s="70">
        <f t="shared" ref="O64:O66" si="13">ROUNDUP((M64),-1)</f>
        <v>6720</v>
      </c>
      <c r="P64" s="71" t="s">
        <v>37</v>
      </c>
      <c r="Q64" s="70"/>
      <c r="R64" s="71"/>
      <c r="S64" s="65"/>
      <c r="T64" s="381"/>
      <c r="U64" s="381"/>
      <c r="V64" s="381"/>
      <c r="W64" s="338" t="str">
        <f>""&amp;TEXT(G64,"0,0")&amp;" шт. х "&amp;TEXT(I64,"0,0")&amp;" раза х "&amp;TEXT(ROUND((K64),2),"0 000,00")&amp;" руб. = "&amp;TEXT(ROUND(((M64)),2),"0 000,00")&amp;" руб. = "&amp;TEXT(O64,"0 000,00")&amp;" руб."</f>
        <v>1,0 шт. х 4,0 раза х 1 678,61 руб. = 6 714,00 руб. = 6 720,00 руб.</v>
      </c>
    </row>
    <row r="65" spans="1:23" ht="21.75" customHeight="1" x14ac:dyDescent="0.25">
      <c r="A65" s="383"/>
      <c r="B65" s="377"/>
      <c r="C65" s="64"/>
      <c r="D65" s="379"/>
      <c r="E65" s="384"/>
      <c r="F65" s="68" t="str">
        <f>F15</f>
        <v>норматив на 2025 год :</v>
      </c>
      <c r="G65" s="343">
        <v>1</v>
      </c>
      <c r="H65" s="67" t="s">
        <v>77</v>
      </c>
      <c r="I65" s="139">
        <v>4</v>
      </c>
      <c r="J65" s="67" t="s">
        <v>67</v>
      </c>
      <c r="K65" s="330">
        <f>K64*1.0457</f>
        <v>1755.3251292206221</v>
      </c>
      <c r="L65" s="67" t="s">
        <v>41</v>
      </c>
      <c r="M65" s="343">
        <f t="shared" si="12"/>
        <v>7021</v>
      </c>
      <c r="N65" s="71" t="s">
        <v>37</v>
      </c>
      <c r="O65" s="70">
        <f t="shared" si="13"/>
        <v>7030</v>
      </c>
      <c r="P65" s="71" t="s">
        <v>37</v>
      </c>
      <c r="Q65" s="70"/>
      <c r="R65" s="71"/>
      <c r="S65" s="65"/>
      <c r="T65" s="381"/>
      <c r="U65" s="381"/>
      <c r="V65" s="381"/>
      <c r="W65" s="338" t="str">
        <f t="shared" ref="W65:W66" si="14">""&amp;TEXT(G65,"0,0")&amp;" шт. х "&amp;TEXT(I65,"0,0")&amp;" раза х "&amp;TEXT(ROUND((K65),2),"0 000,00")&amp;" руб. = "&amp;TEXT(ROUND(((M65)),2),"0 000,00")&amp;" руб. = "&amp;TEXT(O65,"0 000,00")&amp;" руб."</f>
        <v>1,0 шт. х 4,0 раза х 1 755,33 руб. = 7 021,00 руб. = 7 030,00 руб.</v>
      </c>
    </row>
    <row r="66" spans="1:23" ht="22.5" customHeight="1" x14ac:dyDescent="0.25">
      <c r="A66" s="383"/>
      <c r="B66" s="377"/>
      <c r="C66" s="64"/>
      <c r="D66" s="379"/>
      <c r="E66" s="384"/>
      <c r="F66" s="68" t="str">
        <f>F16</f>
        <v>норматив на 2026 год :</v>
      </c>
      <c r="G66" s="343">
        <v>1</v>
      </c>
      <c r="H66" s="67" t="s">
        <v>77</v>
      </c>
      <c r="I66" s="139">
        <v>4</v>
      </c>
      <c r="J66" s="67" t="s">
        <v>67</v>
      </c>
      <c r="K66" s="330">
        <f>K65*1.0457</f>
        <v>1835.5434876260047</v>
      </c>
      <c r="L66" s="67" t="s">
        <v>41</v>
      </c>
      <c r="M66" s="343">
        <f t="shared" si="12"/>
        <v>7342</v>
      </c>
      <c r="N66" s="71" t="s">
        <v>37</v>
      </c>
      <c r="O66" s="70">
        <f t="shared" si="13"/>
        <v>7350</v>
      </c>
      <c r="P66" s="71" t="s">
        <v>37</v>
      </c>
      <c r="Q66" s="70"/>
      <c r="R66" s="71"/>
      <c r="S66" s="65"/>
      <c r="T66" s="382"/>
      <c r="U66" s="382"/>
      <c r="V66" s="382"/>
      <c r="W66" s="338" t="str">
        <f t="shared" si="14"/>
        <v>1,0 шт. х 4,0 раза х 1 835,54 руб. = 7 342,00 руб. = 7 350,00 руб.</v>
      </c>
    </row>
    <row r="67" spans="1:23" s="75" customFormat="1" ht="119.25" customHeight="1" x14ac:dyDescent="0.25">
      <c r="A67" s="383" t="s">
        <v>345</v>
      </c>
      <c r="B67" s="376" t="s">
        <v>208</v>
      </c>
      <c r="C67" s="56"/>
      <c r="D67" s="378">
        <v>225</v>
      </c>
      <c r="E67" s="378">
        <v>244</v>
      </c>
      <c r="F67" s="380" t="s">
        <v>245</v>
      </c>
      <c r="G67" s="380"/>
      <c r="H67" s="380"/>
      <c r="I67" s="380"/>
      <c r="J67" s="380"/>
      <c r="K67" s="380"/>
      <c r="L67" s="380"/>
      <c r="M67" s="380"/>
      <c r="N67" s="380"/>
      <c r="O67" s="380"/>
      <c r="P67" s="380"/>
      <c r="Q67" s="380"/>
      <c r="R67" s="380"/>
      <c r="S67" s="343"/>
      <c r="T67" s="381">
        <f>O69</f>
        <v>71350</v>
      </c>
      <c r="U67" s="381">
        <f>O70</f>
        <v>74610</v>
      </c>
      <c r="V67" s="381">
        <f>O71</f>
        <v>78020</v>
      </c>
      <c r="W67" s="338" t="s">
        <v>209</v>
      </c>
    </row>
    <row r="68" spans="1:23" ht="15" customHeight="1" outlineLevel="1" x14ac:dyDescent="0.25">
      <c r="A68" s="383"/>
      <c r="B68" s="377"/>
      <c r="C68" s="64"/>
      <c r="D68" s="379"/>
      <c r="E68" s="384"/>
      <c r="F68" s="61">
        <v>2022</v>
      </c>
      <c r="G68" s="343">
        <v>1</v>
      </c>
      <c r="H68" s="67" t="s">
        <v>77</v>
      </c>
      <c r="I68" s="139">
        <v>1</v>
      </c>
      <c r="J68" s="67" t="s">
        <v>67</v>
      </c>
      <c r="K68" s="343">
        <v>62868</v>
      </c>
      <c r="L68" s="67" t="s">
        <v>41</v>
      </c>
      <c r="M68" s="343">
        <f>ROUND((G68*I68*K68),0)</f>
        <v>62868</v>
      </c>
      <c r="N68" s="67" t="s">
        <v>37</v>
      </c>
      <c r="O68" s="70">
        <f>ROUNDUP((M68),-1)</f>
        <v>62870</v>
      </c>
      <c r="P68" s="71" t="s">
        <v>37</v>
      </c>
      <c r="Q68" s="78"/>
      <c r="R68" s="61"/>
      <c r="S68" s="65"/>
      <c r="T68" s="381"/>
      <c r="U68" s="381"/>
      <c r="V68" s="381"/>
      <c r="W68" s="338"/>
    </row>
    <row r="69" spans="1:23" ht="18" customHeight="1" x14ac:dyDescent="0.25">
      <c r="A69" s="383"/>
      <c r="B69" s="377"/>
      <c r="C69" s="64"/>
      <c r="D69" s="379"/>
      <c r="E69" s="384"/>
      <c r="F69" s="68" t="str">
        <f>F14</f>
        <v>норматив на 2024 год :</v>
      </c>
      <c r="G69" s="343">
        <v>1</v>
      </c>
      <c r="H69" s="67" t="s">
        <v>77</v>
      </c>
      <c r="I69" s="139">
        <v>1</v>
      </c>
      <c r="J69" s="67" t="s">
        <v>67</v>
      </c>
      <c r="K69" s="330">
        <f>K68*1.0822*1.0487</f>
        <v>71349.090605520003</v>
      </c>
      <c r="L69" s="67" t="s">
        <v>41</v>
      </c>
      <c r="M69" s="343">
        <f t="shared" ref="M69:M71" si="15">ROUND((G69*I69*K69),0)</f>
        <v>71349</v>
      </c>
      <c r="N69" s="67" t="s">
        <v>37</v>
      </c>
      <c r="O69" s="70">
        <f t="shared" ref="O69:O71" si="16">ROUNDUP((M69),-1)</f>
        <v>71350</v>
      </c>
      <c r="P69" s="71" t="s">
        <v>37</v>
      </c>
      <c r="Q69" s="72"/>
      <c r="R69" s="61"/>
      <c r="S69" s="72"/>
      <c r="T69" s="381"/>
      <c r="U69" s="381"/>
      <c r="V69" s="381"/>
      <c r="W69" s="338" t="str">
        <f>""&amp;TEXT($G$43,"0,0")&amp;" у.ед. х "&amp;TEXT($I$43,"0,0")&amp;" раз х "&amp;TEXT(ROUND((K69),2),"000,00")&amp;" руб. = "&amp;TEXT(ROUND((M69),2),"000,00")&amp;" руб. = "&amp;TEXT(O69,"0 000,00")&amp;" руб."</f>
        <v>1,0 у.ед. х 1,0 раз х 71349,09 руб. = 71349,00 руб. = 71 350,00 руб.</v>
      </c>
    </row>
    <row r="70" spans="1:23" ht="19.5" customHeight="1" x14ac:dyDescent="0.25">
      <c r="A70" s="383"/>
      <c r="B70" s="377"/>
      <c r="C70" s="64"/>
      <c r="D70" s="379"/>
      <c r="E70" s="384"/>
      <c r="F70" s="68" t="str">
        <f>F15</f>
        <v>норматив на 2025 год :</v>
      </c>
      <c r="G70" s="343">
        <v>1</v>
      </c>
      <c r="H70" s="67" t="s">
        <v>77</v>
      </c>
      <c r="I70" s="139">
        <v>1</v>
      </c>
      <c r="J70" s="67" t="s">
        <v>67</v>
      </c>
      <c r="K70" s="330">
        <f>K69*1.0457</f>
        <v>74609.744046192267</v>
      </c>
      <c r="L70" s="67" t="s">
        <v>41</v>
      </c>
      <c r="M70" s="343">
        <f t="shared" si="15"/>
        <v>74610</v>
      </c>
      <c r="N70" s="67" t="s">
        <v>37</v>
      </c>
      <c r="O70" s="70">
        <f t="shared" si="16"/>
        <v>74610</v>
      </c>
      <c r="P70" s="71" t="s">
        <v>37</v>
      </c>
      <c r="Q70" s="72"/>
      <c r="R70" s="61"/>
      <c r="S70" s="72"/>
      <c r="T70" s="381"/>
      <c r="U70" s="381"/>
      <c r="V70" s="381"/>
      <c r="W70" s="338" t="str">
        <f>""&amp;TEXT($G$43,"0,0")&amp;" ед. х "&amp;TEXT($I$43,"0,0")&amp;" раз х "&amp;TEXT(ROUND((K70),2),"000,00")&amp;" руб. = "&amp;TEXT(ROUND((M70),2),"000,00")&amp;" руб. = "&amp;TEXT(O70,"0 000,00")&amp;" руб."</f>
        <v>1,0 ед. х 1,0 раз х 74609,74 руб. = 74610,00 руб. = 74 610,00 руб.</v>
      </c>
    </row>
    <row r="71" spans="1:23" ht="19.5" customHeight="1" x14ac:dyDescent="0.25">
      <c r="A71" s="383"/>
      <c r="B71" s="377"/>
      <c r="C71" s="64"/>
      <c r="D71" s="379"/>
      <c r="E71" s="384"/>
      <c r="F71" s="68" t="str">
        <f>F16</f>
        <v>норматив на 2026 год :</v>
      </c>
      <c r="G71" s="343">
        <v>1</v>
      </c>
      <c r="H71" s="67" t="s">
        <v>77</v>
      </c>
      <c r="I71" s="139">
        <v>1</v>
      </c>
      <c r="J71" s="67" t="s">
        <v>67</v>
      </c>
      <c r="K71" s="330">
        <f>K70*1.0457</f>
        <v>78019.409349103254</v>
      </c>
      <c r="L71" s="67" t="s">
        <v>41</v>
      </c>
      <c r="M71" s="343">
        <f t="shared" si="15"/>
        <v>78019</v>
      </c>
      <c r="N71" s="67" t="s">
        <v>37</v>
      </c>
      <c r="O71" s="70">
        <f t="shared" si="16"/>
        <v>78020</v>
      </c>
      <c r="P71" s="71" t="s">
        <v>37</v>
      </c>
      <c r="Q71" s="70"/>
      <c r="R71" s="61"/>
      <c r="S71" s="71"/>
      <c r="T71" s="382"/>
      <c r="U71" s="382"/>
      <c r="V71" s="382"/>
      <c r="W71" s="338" t="str">
        <f>""&amp;TEXT($G$43,"0,0")&amp;" ед. х "&amp;TEXT($I$43,"0,0")&amp;" раз х "&amp;TEXT(ROUND((K71),2),"000,00")&amp;" руб. = "&amp;TEXT(ROUND((M71),2),"000,00")&amp;" руб. = "&amp;TEXT(O71,"0 000,00")&amp;" руб."</f>
        <v>1,0 ед. х 1,0 раз х 78019,41 руб. = 78019,00 руб. = 78 020,00 руб.</v>
      </c>
    </row>
    <row r="72" spans="1:23" s="75" customFormat="1" ht="119.25" customHeight="1" x14ac:dyDescent="0.25">
      <c r="A72" s="383" t="s">
        <v>346</v>
      </c>
      <c r="B72" s="376" t="s">
        <v>236</v>
      </c>
      <c r="C72" s="56"/>
      <c r="D72" s="378">
        <v>225</v>
      </c>
      <c r="E72" s="378">
        <v>244</v>
      </c>
      <c r="F72" s="380" t="s">
        <v>246</v>
      </c>
      <c r="G72" s="380"/>
      <c r="H72" s="380"/>
      <c r="I72" s="380"/>
      <c r="J72" s="380"/>
      <c r="K72" s="380"/>
      <c r="L72" s="380"/>
      <c r="M72" s="380"/>
      <c r="N72" s="380"/>
      <c r="O72" s="380"/>
      <c r="P72" s="380"/>
      <c r="Q72" s="380"/>
      <c r="R72" s="380"/>
      <c r="S72" s="343"/>
      <c r="T72" s="381">
        <f>O74</f>
        <v>7300</v>
      </c>
      <c r="U72" s="381">
        <f>O75</f>
        <v>7630</v>
      </c>
      <c r="V72" s="381">
        <f>O76</f>
        <v>7980</v>
      </c>
      <c r="W72" s="338" t="s">
        <v>363</v>
      </c>
    </row>
    <row r="73" spans="1:23" ht="15" customHeight="1" outlineLevel="1" x14ac:dyDescent="0.25">
      <c r="A73" s="383"/>
      <c r="B73" s="377"/>
      <c r="C73" s="64"/>
      <c r="D73" s="379"/>
      <c r="E73" s="384"/>
      <c r="F73" s="61"/>
      <c r="G73" s="343"/>
      <c r="H73" s="67"/>
      <c r="I73" s="139"/>
      <c r="J73" s="67" t="s">
        <v>67</v>
      </c>
      <c r="K73" s="343"/>
      <c r="L73" s="67" t="s">
        <v>41</v>
      </c>
      <c r="M73" s="343">
        <f>ROUND((G73*I73*K73),0)</f>
        <v>0</v>
      </c>
      <c r="N73" s="67" t="s">
        <v>37</v>
      </c>
      <c r="O73" s="70">
        <f>ROUNDUP((M73),-1)</f>
        <v>0</v>
      </c>
      <c r="P73" s="71" t="s">
        <v>37</v>
      </c>
      <c r="Q73" s="78"/>
      <c r="R73" s="61"/>
      <c r="S73" s="65"/>
      <c r="T73" s="381"/>
      <c r="U73" s="381"/>
      <c r="V73" s="381"/>
      <c r="W73" s="338"/>
    </row>
    <row r="74" spans="1:23" ht="18" customHeight="1" x14ac:dyDescent="0.25">
      <c r="A74" s="383"/>
      <c r="B74" s="377"/>
      <c r="C74" s="64"/>
      <c r="D74" s="379"/>
      <c r="E74" s="384"/>
      <c r="F74" s="68" t="str">
        <f>F69</f>
        <v>норматив на 2024 год :</v>
      </c>
      <c r="G74" s="343">
        <v>61</v>
      </c>
      <c r="H74" s="67" t="s">
        <v>77</v>
      </c>
      <c r="I74" s="139">
        <v>1</v>
      </c>
      <c r="J74" s="67" t="s">
        <v>67</v>
      </c>
      <c r="K74" s="330">
        <f>114*1.0487</f>
        <v>119.5518</v>
      </c>
      <c r="L74" s="67" t="s">
        <v>41</v>
      </c>
      <c r="M74" s="343">
        <f t="shared" ref="M74:M76" si="17">ROUND((G74*I74*K74),0)</f>
        <v>7293</v>
      </c>
      <c r="N74" s="67" t="s">
        <v>37</v>
      </c>
      <c r="O74" s="70">
        <f t="shared" ref="O74:O76" si="18">ROUNDUP((M74),-1)</f>
        <v>7300</v>
      </c>
      <c r="P74" s="71" t="s">
        <v>37</v>
      </c>
      <c r="Q74" s="72"/>
      <c r="R74" s="61"/>
      <c r="S74" s="72"/>
      <c r="T74" s="381"/>
      <c r="U74" s="381"/>
      <c r="V74" s="381"/>
      <c r="W74" s="338" t="str">
        <f>""&amp;TEXT($G$84,"0,0")&amp;" шт. х "&amp;TEXT($I$84,"0,0")&amp;" раз х "&amp;TEXT(ROUND((K74),2),"000,00")&amp;" руб. = "&amp;TEXT(ROUND((M74),2),"000,00")&amp;" руб. = "&amp;TEXT(O74,"0 000,00")&amp;" руб."</f>
        <v>1,0 шт. х 1,0 раз х 119,55 руб. = 7293,00 руб. = 7 300,00 руб.</v>
      </c>
    </row>
    <row r="75" spans="1:23" ht="19.5" customHeight="1" x14ac:dyDescent="0.25">
      <c r="A75" s="383"/>
      <c r="B75" s="377"/>
      <c r="C75" s="64"/>
      <c r="D75" s="379"/>
      <c r="E75" s="384"/>
      <c r="F75" s="68" t="str">
        <f t="shared" ref="F75:F76" si="19">F70</f>
        <v>норматив на 2025 год :</v>
      </c>
      <c r="G75" s="343">
        <v>61</v>
      </c>
      <c r="H75" s="67" t="s">
        <v>77</v>
      </c>
      <c r="I75" s="139">
        <v>1</v>
      </c>
      <c r="J75" s="67" t="s">
        <v>67</v>
      </c>
      <c r="K75" s="330">
        <f>K74*1.0457</f>
        <v>125.01531726</v>
      </c>
      <c r="L75" s="67" t="s">
        <v>41</v>
      </c>
      <c r="M75" s="343">
        <f t="shared" si="17"/>
        <v>7626</v>
      </c>
      <c r="N75" s="67" t="s">
        <v>37</v>
      </c>
      <c r="O75" s="70">
        <f t="shared" si="18"/>
        <v>7630</v>
      </c>
      <c r="P75" s="71" t="s">
        <v>37</v>
      </c>
      <c r="Q75" s="72"/>
      <c r="R75" s="61"/>
      <c r="S75" s="72"/>
      <c r="T75" s="381"/>
      <c r="U75" s="381"/>
      <c r="V75" s="381"/>
      <c r="W75" s="338" t="str">
        <f>""&amp;TEXT($G$85,"0,0")&amp;" шт. х "&amp;TEXT($I$43,"0,0")&amp;" раз х "&amp;TEXT(ROUND((K75),2),"000,00")&amp;" руб. = "&amp;TEXT(ROUND((M75),2),"000,00")&amp;" руб. = "&amp;TEXT(O75,"0 000,00")&amp;" руб."</f>
        <v>1,0 шт. х 1,0 раз х 125,02 руб. = 7626,00 руб. = 7 630,00 руб.</v>
      </c>
    </row>
    <row r="76" spans="1:23" ht="19.5" customHeight="1" x14ac:dyDescent="0.25">
      <c r="A76" s="383"/>
      <c r="B76" s="377"/>
      <c r="C76" s="64"/>
      <c r="D76" s="379"/>
      <c r="E76" s="384"/>
      <c r="F76" s="68" t="str">
        <f t="shared" si="19"/>
        <v>норматив на 2026 год :</v>
      </c>
      <c r="G76" s="343">
        <v>61</v>
      </c>
      <c r="H76" s="67" t="s">
        <v>77</v>
      </c>
      <c r="I76" s="139">
        <v>1</v>
      </c>
      <c r="J76" s="67" t="s">
        <v>67</v>
      </c>
      <c r="K76" s="330">
        <f>K75*1.0457</f>
        <v>130.72851725878201</v>
      </c>
      <c r="L76" s="67" t="s">
        <v>41</v>
      </c>
      <c r="M76" s="343">
        <f t="shared" si="17"/>
        <v>7974</v>
      </c>
      <c r="N76" s="67" t="s">
        <v>37</v>
      </c>
      <c r="O76" s="70">
        <f t="shared" si="18"/>
        <v>7980</v>
      </c>
      <c r="P76" s="71" t="s">
        <v>37</v>
      </c>
      <c r="Q76" s="70"/>
      <c r="R76" s="61"/>
      <c r="S76" s="71"/>
      <c r="T76" s="382"/>
      <c r="U76" s="382"/>
      <c r="V76" s="382"/>
      <c r="W76" s="338" t="str">
        <f>""&amp;TEXT($G$86,"0,0")&amp;" шт. х "&amp;TEXT($I$43,"0,0")&amp;" раз х "&amp;TEXT(ROUND((K76),2),"000,00")&amp;" руб. = "&amp;TEXT(ROUND((M76),2),"000,00")&amp;" руб. = "&amp;TEXT(O76,"0 000,00")&amp;" руб."</f>
        <v>1,0 шт. х 1,0 раз х 130,73 руб. = 7974,00 руб. = 7 980,00 руб.</v>
      </c>
    </row>
    <row r="77" spans="1:23" s="75" customFormat="1" ht="119.25" customHeight="1" x14ac:dyDescent="0.25">
      <c r="A77" s="383" t="s">
        <v>347</v>
      </c>
      <c r="B77" s="376" t="s">
        <v>348</v>
      </c>
      <c r="C77" s="56"/>
      <c r="D77" s="378">
        <v>225</v>
      </c>
      <c r="E77" s="378">
        <v>244</v>
      </c>
      <c r="F77" s="380" t="s">
        <v>246</v>
      </c>
      <c r="G77" s="380"/>
      <c r="H77" s="380"/>
      <c r="I77" s="380"/>
      <c r="J77" s="380"/>
      <c r="K77" s="380"/>
      <c r="L77" s="380"/>
      <c r="M77" s="380"/>
      <c r="N77" s="380"/>
      <c r="O77" s="380"/>
      <c r="P77" s="380"/>
      <c r="Q77" s="380"/>
      <c r="R77" s="380"/>
      <c r="S77" s="343"/>
      <c r="T77" s="381">
        <f>O79</f>
        <v>31970</v>
      </c>
      <c r="U77" s="381">
        <f>O80</f>
        <v>33430</v>
      </c>
      <c r="V77" s="381">
        <f>O81</f>
        <v>34960</v>
      </c>
      <c r="W77" s="338" t="s">
        <v>362</v>
      </c>
    </row>
    <row r="78" spans="1:23" ht="15" customHeight="1" outlineLevel="1" x14ac:dyDescent="0.25">
      <c r="A78" s="383"/>
      <c r="B78" s="377"/>
      <c r="C78" s="64"/>
      <c r="D78" s="379"/>
      <c r="E78" s="384"/>
      <c r="F78" s="61"/>
      <c r="G78" s="343"/>
      <c r="H78" s="67"/>
      <c r="I78" s="139"/>
      <c r="J78" s="67" t="s">
        <v>67</v>
      </c>
      <c r="K78" s="343"/>
      <c r="L78" s="67" t="s">
        <v>41</v>
      </c>
      <c r="M78" s="343">
        <f>ROUND((G78*I78*K78),0)</f>
        <v>0</v>
      </c>
      <c r="N78" s="67" t="s">
        <v>37</v>
      </c>
      <c r="O78" s="70">
        <f>ROUNDUP((M78),-1)</f>
        <v>0</v>
      </c>
      <c r="P78" s="71" t="s">
        <v>37</v>
      </c>
      <c r="Q78" s="78"/>
      <c r="R78" s="61"/>
      <c r="S78" s="65"/>
      <c r="T78" s="381"/>
      <c r="U78" s="381"/>
      <c r="V78" s="381"/>
      <c r="W78" s="338"/>
    </row>
    <row r="79" spans="1:23" ht="18" customHeight="1" x14ac:dyDescent="0.25">
      <c r="A79" s="383"/>
      <c r="B79" s="377"/>
      <c r="C79" s="64"/>
      <c r="D79" s="379"/>
      <c r="E79" s="384"/>
      <c r="F79" s="68" t="str">
        <f>F74</f>
        <v>норматив на 2024 год :</v>
      </c>
      <c r="G79" s="343">
        <v>61</v>
      </c>
      <c r="H79" s="67" t="s">
        <v>77</v>
      </c>
      <c r="I79" s="139">
        <v>1</v>
      </c>
      <c r="J79" s="67" t="s">
        <v>67</v>
      </c>
      <c r="K79" s="330">
        <f>499.67*1.0487</f>
        <v>524.00392899999997</v>
      </c>
      <c r="L79" s="67" t="s">
        <v>41</v>
      </c>
      <c r="M79" s="343">
        <f t="shared" ref="M79:M81" si="20">ROUND((G79*I79*K79),0)</f>
        <v>31964</v>
      </c>
      <c r="N79" s="67" t="s">
        <v>37</v>
      </c>
      <c r="O79" s="70">
        <f t="shared" ref="O79:O81" si="21">ROUNDUP((M79),-1)</f>
        <v>31970</v>
      </c>
      <c r="P79" s="71" t="s">
        <v>37</v>
      </c>
      <c r="Q79" s="72"/>
      <c r="R79" s="61"/>
      <c r="S79" s="72"/>
      <c r="T79" s="381"/>
      <c r="U79" s="381"/>
      <c r="V79" s="381"/>
      <c r="W79" s="338" t="str">
        <f>""&amp;TEXT($G$84,"0,0")&amp;" шт. х "&amp;TEXT($I$84,"0,0")&amp;" раз х "&amp;TEXT(ROUND((K79),2),"000,00")&amp;" руб. = "&amp;TEXT(ROUND((M79),2),"000,00")&amp;" руб. = "&amp;TEXT(O79,"0 000,00")&amp;" руб."</f>
        <v>1,0 шт. х 1,0 раз х 524,00 руб. = 31964,00 руб. = 31 970,00 руб.</v>
      </c>
    </row>
    <row r="80" spans="1:23" ht="19.5" customHeight="1" x14ac:dyDescent="0.25">
      <c r="A80" s="383"/>
      <c r="B80" s="377"/>
      <c r="C80" s="64"/>
      <c r="D80" s="379"/>
      <c r="E80" s="384"/>
      <c r="F80" s="68" t="str">
        <f t="shared" ref="F80:F81" si="22">F75</f>
        <v>норматив на 2025 год :</v>
      </c>
      <c r="G80" s="343">
        <v>61</v>
      </c>
      <c r="H80" s="67" t="s">
        <v>77</v>
      </c>
      <c r="I80" s="139">
        <v>1</v>
      </c>
      <c r="J80" s="67" t="s">
        <v>67</v>
      </c>
      <c r="K80" s="330">
        <f>K79*1.0457</f>
        <v>547.95090855529997</v>
      </c>
      <c r="L80" s="67" t="s">
        <v>41</v>
      </c>
      <c r="M80" s="343">
        <f t="shared" si="20"/>
        <v>33425</v>
      </c>
      <c r="N80" s="67" t="s">
        <v>37</v>
      </c>
      <c r="O80" s="70">
        <f t="shared" si="21"/>
        <v>33430</v>
      </c>
      <c r="P80" s="71" t="s">
        <v>37</v>
      </c>
      <c r="Q80" s="72"/>
      <c r="R80" s="61"/>
      <c r="S80" s="72"/>
      <c r="T80" s="381"/>
      <c r="U80" s="381"/>
      <c r="V80" s="381"/>
      <c r="W80" s="338" t="str">
        <f>""&amp;TEXT($G$85,"0,0")&amp;" шт. х "&amp;TEXT($I$43,"0,0")&amp;" раз х "&amp;TEXT(ROUND((K80),2),"000,00")&amp;" руб. = "&amp;TEXT(ROUND((M80),2),"000,00")&amp;" руб. = "&amp;TEXT(O80,"0 000,00")&amp;" руб."</f>
        <v>1,0 шт. х 1,0 раз х 547,95 руб. = 33425,00 руб. = 33 430,00 руб.</v>
      </c>
    </row>
    <row r="81" spans="1:23" ht="19.5" customHeight="1" x14ac:dyDescent="0.25">
      <c r="A81" s="383"/>
      <c r="B81" s="377"/>
      <c r="C81" s="64"/>
      <c r="D81" s="379"/>
      <c r="E81" s="384"/>
      <c r="F81" s="68" t="str">
        <f t="shared" si="22"/>
        <v>норматив на 2026 год :</v>
      </c>
      <c r="G81" s="343">
        <v>61</v>
      </c>
      <c r="H81" s="67" t="s">
        <v>77</v>
      </c>
      <c r="I81" s="139">
        <v>1</v>
      </c>
      <c r="J81" s="67" t="s">
        <v>67</v>
      </c>
      <c r="K81" s="330">
        <f>K80*1.0457</f>
        <v>572.99226507627725</v>
      </c>
      <c r="L81" s="67" t="s">
        <v>41</v>
      </c>
      <c r="M81" s="343">
        <f t="shared" si="20"/>
        <v>34953</v>
      </c>
      <c r="N81" s="67" t="s">
        <v>37</v>
      </c>
      <c r="O81" s="70">
        <f t="shared" si="21"/>
        <v>34960</v>
      </c>
      <c r="P81" s="71" t="s">
        <v>37</v>
      </c>
      <c r="Q81" s="70"/>
      <c r="R81" s="61"/>
      <c r="S81" s="71"/>
      <c r="T81" s="382"/>
      <c r="U81" s="382"/>
      <c r="V81" s="382"/>
      <c r="W81" s="338" t="str">
        <f>""&amp;TEXT($G$86,"0,0")&amp;" шт. х "&amp;TEXT($I$43,"0,0")&amp;" раз х "&amp;TEXT(ROUND((K81),2),"000,00")&amp;" руб. = "&amp;TEXT(ROUND((M81),2),"000,00")&amp;" руб. = "&amp;TEXT(O81,"0 000,00")&amp;" руб."</f>
        <v>1,0 шт. х 1,0 раз х 572,99 руб. = 34953,00 руб. = 34 960,00 руб.</v>
      </c>
    </row>
    <row r="82" spans="1:23" s="75" customFormat="1" ht="119.25" customHeight="1" x14ac:dyDescent="0.25">
      <c r="A82" s="438" t="s">
        <v>371</v>
      </c>
      <c r="B82" s="376" t="s">
        <v>372</v>
      </c>
      <c r="C82" s="56"/>
      <c r="D82" s="378">
        <v>225</v>
      </c>
      <c r="E82" s="378">
        <v>244</v>
      </c>
      <c r="F82" s="380" t="s">
        <v>246</v>
      </c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343"/>
      <c r="T82" s="381">
        <f>O84</f>
        <v>166750</v>
      </c>
      <c r="U82" s="381">
        <f>O85</f>
        <v>174370</v>
      </c>
      <c r="V82" s="381">
        <f>O86</f>
        <v>182340</v>
      </c>
      <c r="W82" s="338" t="s">
        <v>373</v>
      </c>
    </row>
    <row r="83" spans="1:23" ht="15" customHeight="1" outlineLevel="1" x14ac:dyDescent="0.25">
      <c r="A83" s="438"/>
      <c r="B83" s="377"/>
      <c r="C83" s="64"/>
      <c r="D83" s="379"/>
      <c r="E83" s="384"/>
      <c r="F83" s="61"/>
      <c r="G83" s="343"/>
      <c r="H83" s="67"/>
      <c r="I83" s="139"/>
      <c r="J83" s="67" t="s">
        <v>67</v>
      </c>
      <c r="K83" s="343"/>
      <c r="L83" s="67" t="s">
        <v>41</v>
      </c>
      <c r="M83" s="343">
        <f>ROUND((G83*I83*K83),0)</f>
        <v>0</v>
      </c>
      <c r="N83" s="67" t="s">
        <v>37</v>
      </c>
      <c r="O83" s="70">
        <f>ROUNDUP((M83),-1)</f>
        <v>0</v>
      </c>
      <c r="P83" s="71" t="s">
        <v>37</v>
      </c>
      <c r="Q83" s="78"/>
      <c r="R83" s="61"/>
      <c r="S83" s="65"/>
      <c r="T83" s="381"/>
      <c r="U83" s="381"/>
      <c r="V83" s="381"/>
      <c r="W83" s="338"/>
    </row>
    <row r="84" spans="1:23" ht="18" customHeight="1" x14ac:dyDescent="0.25">
      <c r="A84" s="438"/>
      <c r="B84" s="377"/>
      <c r="C84" s="64"/>
      <c r="D84" s="379"/>
      <c r="E84" s="384"/>
      <c r="F84" s="68" t="str">
        <f>F14</f>
        <v>норматив на 2024 год :</v>
      </c>
      <c r="G84" s="343">
        <v>1</v>
      </c>
      <c r="H84" s="67" t="s">
        <v>77</v>
      </c>
      <c r="I84" s="139">
        <v>1</v>
      </c>
      <c r="J84" s="67" t="s">
        <v>67</v>
      </c>
      <c r="K84" s="330">
        <f>158999.93*1.0487</f>
        <v>166743.22659099998</v>
      </c>
      <c r="L84" s="67" t="s">
        <v>41</v>
      </c>
      <c r="M84" s="343">
        <f t="shared" ref="M84:M86" si="23">ROUND((G84*I84*K84),0)</f>
        <v>166743</v>
      </c>
      <c r="N84" s="67" t="s">
        <v>37</v>
      </c>
      <c r="O84" s="70">
        <f t="shared" ref="O84:O86" si="24">ROUNDUP((M84),-1)</f>
        <v>166750</v>
      </c>
      <c r="P84" s="71" t="s">
        <v>37</v>
      </c>
      <c r="Q84" s="72"/>
      <c r="R84" s="61"/>
      <c r="S84" s="72"/>
      <c r="T84" s="381"/>
      <c r="U84" s="381"/>
      <c r="V84" s="381"/>
      <c r="W84" s="338" t="str">
        <f>""&amp;TEXT($G$84,"0,0")&amp;" шт. х "&amp;TEXT($I$84,"0,0")&amp;" раз х "&amp;TEXT(ROUND((K84),2),"000,00")&amp;" руб. = "&amp;TEXT(ROUND((M84),2),"000,00")&amp;" руб. = "&amp;TEXT(O84,"0 000,00")&amp;" руб."</f>
        <v>1,0 шт. х 1,0 раз х 166743,23 руб. = 166743,00 руб. = 166 750,00 руб.</v>
      </c>
    </row>
    <row r="85" spans="1:23" ht="19.5" customHeight="1" x14ac:dyDescent="0.25">
      <c r="A85" s="438"/>
      <c r="B85" s="377"/>
      <c r="C85" s="64"/>
      <c r="D85" s="379"/>
      <c r="E85" s="384"/>
      <c r="F85" s="68" t="str">
        <f>F15</f>
        <v>норматив на 2025 год :</v>
      </c>
      <c r="G85" s="343">
        <v>1</v>
      </c>
      <c r="H85" s="67" t="s">
        <v>77</v>
      </c>
      <c r="I85" s="139">
        <v>1</v>
      </c>
      <c r="J85" s="67" t="s">
        <v>67</v>
      </c>
      <c r="K85" s="330">
        <f>K84*1.0457</f>
        <v>174363.3920462087</v>
      </c>
      <c r="L85" s="67" t="s">
        <v>41</v>
      </c>
      <c r="M85" s="343">
        <f t="shared" si="23"/>
        <v>174363</v>
      </c>
      <c r="N85" s="67" t="s">
        <v>37</v>
      </c>
      <c r="O85" s="70">
        <f t="shared" si="24"/>
        <v>174370</v>
      </c>
      <c r="P85" s="71" t="s">
        <v>37</v>
      </c>
      <c r="Q85" s="72"/>
      <c r="R85" s="61"/>
      <c r="S85" s="72"/>
      <c r="T85" s="381"/>
      <c r="U85" s="381"/>
      <c r="V85" s="381"/>
      <c r="W85" s="338" t="str">
        <f>""&amp;TEXT($G$85,"0,0")&amp;" шт. х "&amp;TEXT($I$43,"0,0")&amp;" раз х "&amp;TEXT(ROUND((K85),2),"000,00")&amp;" руб. = "&amp;TEXT(ROUND((M85),2),"000,00")&amp;" руб. = "&amp;TEXT(O85,"0 000,00")&amp;" руб."</f>
        <v>1,0 шт. х 1,0 раз х 174363,39 руб. = 174363,00 руб. = 174 370,00 руб.</v>
      </c>
    </row>
    <row r="86" spans="1:23" ht="19.5" customHeight="1" x14ac:dyDescent="0.25">
      <c r="A86" s="438"/>
      <c r="B86" s="377"/>
      <c r="C86" s="64"/>
      <c r="D86" s="379"/>
      <c r="E86" s="384"/>
      <c r="F86" s="68" t="str">
        <f>F16</f>
        <v>норматив на 2026 год :</v>
      </c>
      <c r="G86" s="343">
        <v>1</v>
      </c>
      <c r="H86" s="67" t="s">
        <v>77</v>
      </c>
      <c r="I86" s="139">
        <v>1</v>
      </c>
      <c r="J86" s="67" t="s">
        <v>67</v>
      </c>
      <c r="K86" s="330">
        <f>K85*1.0457</f>
        <v>182331.79906272044</v>
      </c>
      <c r="L86" s="67" t="s">
        <v>41</v>
      </c>
      <c r="M86" s="343">
        <f t="shared" si="23"/>
        <v>182332</v>
      </c>
      <c r="N86" s="67" t="s">
        <v>37</v>
      </c>
      <c r="O86" s="70">
        <f t="shared" si="24"/>
        <v>182340</v>
      </c>
      <c r="P86" s="71" t="s">
        <v>37</v>
      </c>
      <c r="Q86" s="70"/>
      <c r="R86" s="61"/>
      <c r="S86" s="71"/>
      <c r="T86" s="382"/>
      <c r="U86" s="382"/>
      <c r="V86" s="382"/>
      <c r="W86" s="338" t="str">
        <f>""&amp;TEXT($G$86,"0,0")&amp;" шт. х "&amp;TEXT($I$43,"0,0")&amp;" раз х "&amp;TEXT(ROUND((K86),2),"000,00")&amp;" руб. = "&amp;TEXT(ROUND((M86),2),"000,00")&amp;" руб. = "&amp;TEXT(O86,"0 000,00")&amp;" руб."</f>
        <v>1,0 шт. х 1,0 раз х 182331,80 руб. = 182332,00 руб. = 182 340,00 руб.</v>
      </c>
    </row>
    <row r="87" spans="1:23" ht="183.75" customHeight="1" x14ac:dyDescent="0.25">
      <c r="A87" s="281" t="s">
        <v>12</v>
      </c>
      <c r="B87" s="310" t="s">
        <v>365</v>
      </c>
      <c r="C87" s="88"/>
      <c r="D87" s="248" t="s">
        <v>35</v>
      </c>
      <c r="E87" s="248" t="s">
        <v>35</v>
      </c>
      <c r="F87" s="423"/>
      <c r="G87" s="424"/>
      <c r="H87" s="424"/>
      <c r="I87" s="424"/>
      <c r="J87" s="424"/>
      <c r="K87" s="424"/>
      <c r="L87" s="424"/>
      <c r="M87" s="424"/>
      <c r="N87" s="424"/>
      <c r="O87" s="424"/>
      <c r="P87" s="424"/>
      <c r="Q87" s="424"/>
      <c r="R87" s="424"/>
      <c r="S87" s="424"/>
      <c r="T87" s="255">
        <f>T88+T92+T97+T102+T107</f>
        <v>628450</v>
      </c>
      <c r="U87" s="255">
        <f t="shared" ref="U87:V87" si="25">U88+U92+U97+U102+U107</f>
        <v>655420</v>
      </c>
      <c r="V87" s="255">
        <f t="shared" si="25"/>
        <v>682780</v>
      </c>
      <c r="W87" s="338" t="str">
        <f>"Нормативные " &amp;TEXT(B87,"0")&amp;" включают в себя:
нормативные "&amp;TEXT(B88,"0")&amp;";
нормативные "&amp;TEXT(B92,"0")&amp;"; нормативные "&amp;TEXT(B97,"0")&amp;";
нормативные "&amp;TEXT(B102,"0")&amp;";
нормативные "&amp;TEXT(B107,"0")&amp;""</f>
        <v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 включают в себя:
нормативные затраты на приобретение периодических печатных изданий;
нормативные затраты на проведение периодического медицинского осмотра; нормативные затраты на проведение предрейсового медицинского осмотра;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88" spans="1:23" ht="105.75" customHeight="1" x14ac:dyDescent="0.25">
      <c r="A88" s="468" t="s">
        <v>13</v>
      </c>
      <c r="B88" s="376" t="s">
        <v>103</v>
      </c>
      <c r="C88" s="64"/>
      <c r="D88" s="378">
        <v>226</v>
      </c>
      <c r="E88" s="378">
        <v>244</v>
      </c>
      <c r="F88" s="458" t="s">
        <v>382</v>
      </c>
      <c r="G88" s="458"/>
      <c r="H88" s="458"/>
      <c r="I88" s="458"/>
      <c r="J88" s="458"/>
      <c r="K88" s="458"/>
      <c r="L88" s="458"/>
      <c r="M88" s="458"/>
      <c r="N88" s="458"/>
      <c r="O88" s="458"/>
      <c r="P88" s="458"/>
      <c r="Q88" s="458"/>
      <c r="R88" s="458"/>
      <c r="S88" s="65"/>
      <c r="T88" s="381">
        <f>O89</f>
        <v>429410</v>
      </c>
      <c r="U88" s="381">
        <f>O90</f>
        <v>447280</v>
      </c>
      <c r="V88" s="381">
        <f>O91</f>
        <v>465120</v>
      </c>
      <c r="W88" s="338" t="s">
        <v>51</v>
      </c>
    </row>
    <row r="89" spans="1:23" ht="21.75" customHeight="1" x14ac:dyDescent="0.25">
      <c r="A89" s="468"/>
      <c r="B89" s="377"/>
      <c r="C89" s="64"/>
      <c r="D89" s="379"/>
      <c r="E89" s="379"/>
      <c r="F89" s="68" t="str">
        <f>F14</f>
        <v>норматив на 2024 год :</v>
      </c>
      <c r="G89" s="343">
        <v>213</v>
      </c>
      <c r="H89" s="67" t="s">
        <v>48</v>
      </c>
      <c r="I89" s="311">
        <v>168</v>
      </c>
      <c r="J89" s="67" t="s">
        <v>49</v>
      </c>
      <c r="K89" s="140">
        <v>12</v>
      </c>
      <c r="L89" s="67" t="s">
        <v>50</v>
      </c>
      <c r="M89" s="343">
        <f t="shared" ref="M89:M91" si="26">ROUND((G89*I89*K89),0)</f>
        <v>429408</v>
      </c>
      <c r="N89" s="67" t="s">
        <v>41</v>
      </c>
      <c r="O89" s="70">
        <f>ROUNDUP((M89),-1)</f>
        <v>429410</v>
      </c>
      <c r="P89" s="71" t="s">
        <v>37</v>
      </c>
      <c r="Q89" s="67"/>
      <c r="R89" s="65"/>
      <c r="S89" s="65"/>
      <c r="T89" s="381"/>
      <c r="U89" s="381"/>
      <c r="V89" s="381"/>
      <c r="W89" s="338" t="str">
        <f>""&amp;TEXT(G89,"000,00")&amp;" шт.ед. х норматив "&amp;TEXT(I89,"0,00")&amp;" руб. х "&amp;TEXT(K89,"00,0")&amp;" мес.  = "&amp;TEXT(M89,"0 000,00")&amp;" руб. = "&amp;TEXT(O89,"0 000,00")&amp;" руб."</f>
        <v>213,00 шт.ед. х норматив 168,00 руб. х 12,0 мес.  = 429 408,00 руб. = 429 410,00 руб.</v>
      </c>
    </row>
    <row r="90" spans="1:23" ht="20.25" customHeight="1" x14ac:dyDescent="0.25">
      <c r="A90" s="468"/>
      <c r="B90" s="377"/>
      <c r="C90" s="64"/>
      <c r="D90" s="379"/>
      <c r="E90" s="379"/>
      <c r="F90" s="68" t="str">
        <f>F15</f>
        <v>норматив на 2025 год :</v>
      </c>
      <c r="G90" s="343">
        <v>213</v>
      </c>
      <c r="H90" s="67" t="s">
        <v>48</v>
      </c>
      <c r="I90" s="311">
        <v>174.99</v>
      </c>
      <c r="J90" s="67" t="s">
        <v>49</v>
      </c>
      <c r="K90" s="140">
        <v>12</v>
      </c>
      <c r="L90" s="67" t="s">
        <v>50</v>
      </c>
      <c r="M90" s="343">
        <f t="shared" si="26"/>
        <v>447274</v>
      </c>
      <c r="N90" s="67" t="s">
        <v>41</v>
      </c>
      <c r="O90" s="70">
        <f t="shared" ref="O90:O91" si="27">ROUNDUP((M90),-1)</f>
        <v>447280</v>
      </c>
      <c r="P90" s="71" t="s">
        <v>37</v>
      </c>
      <c r="Q90" s="67"/>
      <c r="R90" s="65"/>
      <c r="S90" s="65"/>
      <c r="T90" s="381"/>
      <c r="U90" s="381"/>
      <c r="V90" s="381"/>
      <c r="W90" s="338" t="str">
        <f t="shared" ref="W90:W91" si="28">""&amp;TEXT(G90,"000,00")&amp;" шт.ед. х норматив "&amp;TEXT(I90,"0,00")&amp;" руб. х "&amp;TEXT(K90,"00,0")&amp;" мес.  = "&amp;TEXT(M90,"0 000,00")&amp;" руб. = "&amp;TEXT(O90,"0 000,00")&amp;" руб."</f>
        <v>213,00 шт.ед. х норматив 174,99 руб. х 12,0 мес.  = 447 274,00 руб. = 447 280,00 руб.</v>
      </c>
    </row>
    <row r="91" spans="1:23" ht="22.5" customHeight="1" x14ac:dyDescent="0.25">
      <c r="A91" s="468"/>
      <c r="B91" s="377"/>
      <c r="C91" s="64"/>
      <c r="D91" s="379"/>
      <c r="E91" s="379"/>
      <c r="F91" s="68" t="str">
        <f>F16</f>
        <v>норматив на 2026 год :</v>
      </c>
      <c r="G91" s="343">
        <v>213</v>
      </c>
      <c r="H91" s="67" t="s">
        <v>48</v>
      </c>
      <c r="I91" s="311">
        <v>181.97</v>
      </c>
      <c r="J91" s="67" t="s">
        <v>49</v>
      </c>
      <c r="K91" s="140">
        <v>12</v>
      </c>
      <c r="L91" s="67" t="s">
        <v>50</v>
      </c>
      <c r="M91" s="343">
        <f t="shared" si="26"/>
        <v>465115</v>
      </c>
      <c r="N91" s="67" t="s">
        <v>41</v>
      </c>
      <c r="O91" s="70">
        <f t="shared" si="27"/>
        <v>465120</v>
      </c>
      <c r="P91" s="71" t="s">
        <v>37</v>
      </c>
      <c r="Q91" s="67"/>
      <c r="R91" s="65"/>
      <c r="S91" s="65"/>
      <c r="T91" s="381"/>
      <c r="U91" s="381"/>
      <c r="V91" s="381"/>
      <c r="W91" s="338" t="str">
        <f t="shared" si="28"/>
        <v>213,00 шт.ед. х норматив 181,97 руб. х 12,0 мес.  = 465 115,00 руб. = 465 120,00 руб.</v>
      </c>
    </row>
    <row r="92" spans="1:23" ht="124.5" customHeight="1" x14ac:dyDescent="0.25">
      <c r="A92" s="383" t="s">
        <v>30</v>
      </c>
      <c r="B92" s="376" t="s">
        <v>106</v>
      </c>
      <c r="C92" s="64"/>
      <c r="D92" s="378">
        <v>226</v>
      </c>
      <c r="E92" s="378">
        <v>244</v>
      </c>
      <c r="F92" s="380" t="s">
        <v>248</v>
      </c>
      <c r="G92" s="380"/>
      <c r="H92" s="380"/>
      <c r="I92" s="380"/>
      <c r="J92" s="380"/>
      <c r="K92" s="380"/>
      <c r="L92" s="380"/>
      <c r="M92" s="380"/>
      <c r="N92" s="380"/>
      <c r="O92" s="380"/>
      <c r="P92" s="380"/>
      <c r="Q92" s="380"/>
      <c r="R92" s="380"/>
      <c r="S92" s="65"/>
      <c r="T92" s="381">
        <f>O94</f>
        <v>2840</v>
      </c>
      <c r="U92" s="385">
        <f>O95</f>
        <v>2970</v>
      </c>
      <c r="V92" s="381">
        <f>O96</f>
        <v>3110</v>
      </c>
      <c r="W92" s="338" t="s">
        <v>74</v>
      </c>
    </row>
    <row r="93" spans="1:23" ht="20.25" customHeight="1" outlineLevel="1" x14ac:dyDescent="0.25">
      <c r="A93" s="383"/>
      <c r="B93" s="377"/>
      <c r="C93" s="64"/>
      <c r="D93" s="379"/>
      <c r="E93" s="384"/>
      <c r="F93" s="61">
        <v>2022</v>
      </c>
      <c r="G93" s="343">
        <v>1</v>
      </c>
      <c r="H93" s="67" t="s">
        <v>252</v>
      </c>
      <c r="I93" s="343">
        <v>1</v>
      </c>
      <c r="J93" s="67" t="s">
        <v>73</v>
      </c>
      <c r="K93" s="343">
        <v>2500</v>
      </c>
      <c r="L93" s="67" t="s">
        <v>41</v>
      </c>
      <c r="M93" s="343">
        <f>ROUND((G93*I93*K93),0)</f>
        <v>2500</v>
      </c>
      <c r="N93" s="67" t="s">
        <v>37</v>
      </c>
      <c r="O93" s="70">
        <f>ROUNDUP((M93),-1)</f>
        <v>2500</v>
      </c>
      <c r="P93" s="71" t="s">
        <v>37</v>
      </c>
      <c r="Q93" s="67"/>
      <c r="R93" s="65"/>
      <c r="S93" s="65"/>
      <c r="T93" s="381"/>
      <c r="U93" s="386"/>
      <c r="V93" s="381"/>
    </row>
    <row r="94" spans="1:23" ht="15" x14ac:dyDescent="0.25">
      <c r="A94" s="383"/>
      <c r="B94" s="377"/>
      <c r="C94" s="64"/>
      <c r="D94" s="379"/>
      <c r="E94" s="384"/>
      <c r="F94" s="68" t="str">
        <f>F14</f>
        <v>норматив на 2024 год :</v>
      </c>
      <c r="G94" s="343">
        <v>1</v>
      </c>
      <c r="H94" s="65" t="s">
        <v>252</v>
      </c>
      <c r="I94" s="69">
        <v>1</v>
      </c>
      <c r="J94" s="67" t="str">
        <f>J93</f>
        <v>раз х средняя цена</v>
      </c>
      <c r="K94" s="343">
        <f>K93*1.0822*1.0487</f>
        <v>2837.25785</v>
      </c>
      <c r="L94" s="67" t="s">
        <v>41</v>
      </c>
      <c r="M94" s="343">
        <f t="shared" ref="M94:M96" si="29">ROUND((G94*I94*K94),0)</f>
        <v>2837</v>
      </c>
      <c r="N94" s="71" t="s">
        <v>37</v>
      </c>
      <c r="O94" s="70">
        <f t="shared" ref="O94:O96" si="30">ROUNDUP((M94),-1)</f>
        <v>2840</v>
      </c>
      <c r="P94" s="71" t="s">
        <v>37</v>
      </c>
      <c r="Q94" s="72"/>
      <c r="R94" s="71"/>
      <c r="S94" s="65"/>
      <c r="T94" s="381"/>
      <c r="U94" s="386"/>
      <c r="V94" s="381"/>
      <c r="W94" s="338" t="str">
        <f>""&amp;TEXT(G94,"0,0")&amp;" чел. х "&amp;TEXT(I94,"0,0")&amp;" раз х "&amp;TEXT(ROUND((K94),2),"0 000,00")&amp;" руб. = "&amp;TEXT(ROUND((M94),2),"0 000,00")&amp;" руб. = "&amp;TEXT(O94,"0 000,00")&amp;" руб."</f>
        <v>1,0 чел. х 1,0 раз х 2 837,26 руб. = 2 837,00 руб. = 2 840,00 руб.</v>
      </c>
    </row>
    <row r="95" spans="1:23" ht="15" customHeight="1" outlineLevel="1" collapsed="1" x14ac:dyDescent="0.25">
      <c r="A95" s="383"/>
      <c r="B95" s="377"/>
      <c r="C95" s="64"/>
      <c r="D95" s="379"/>
      <c r="E95" s="384"/>
      <c r="F95" s="68" t="str">
        <f>F15</f>
        <v>норматив на 2025 год :</v>
      </c>
      <c r="G95" s="343">
        <v>1</v>
      </c>
      <c r="H95" s="67" t="str">
        <f>H94</f>
        <v xml:space="preserve">чел. </v>
      </c>
      <c r="I95" s="69">
        <v>1</v>
      </c>
      <c r="J95" s="67" t="str">
        <f>J93</f>
        <v>раз х средняя цена</v>
      </c>
      <c r="K95" s="343">
        <f>K94*1.0457</f>
        <v>2966.9205337450003</v>
      </c>
      <c r="L95" s="67" t="s">
        <v>41</v>
      </c>
      <c r="M95" s="343">
        <f t="shared" si="29"/>
        <v>2967</v>
      </c>
      <c r="N95" s="71" t="s">
        <v>37</v>
      </c>
      <c r="O95" s="70">
        <f t="shared" si="30"/>
        <v>2970</v>
      </c>
      <c r="P95" s="71" t="s">
        <v>37</v>
      </c>
      <c r="Q95" s="93"/>
      <c r="R95" s="71"/>
      <c r="S95" s="65"/>
      <c r="T95" s="381"/>
      <c r="U95" s="386"/>
      <c r="V95" s="381"/>
      <c r="W95" s="338" t="str">
        <f t="shared" ref="W95:W96" si="31">""&amp;TEXT(G95,"0,0")&amp;" чел. х "&amp;TEXT(I95,"0,0")&amp;" раз х "&amp;TEXT(ROUND((K95),2),"0 000,00")&amp;" руб. = "&amp;TEXT(ROUND((M95),2),"0 000,00")&amp;" руб. = "&amp;TEXT(O95,"0 000,00")&amp;" руб."</f>
        <v>1,0 чел. х 1,0 раз х 2 966,92 руб. = 2 967,00 руб. = 2 970,00 руб.</v>
      </c>
    </row>
    <row r="96" spans="1:23" ht="15" x14ac:dyDescent="0.25">
      <c r="A96" s="383"/>
      <c r="B96" s="377"/>
      <c r="C96" s="64"/>
      <c r="D96" s="379"/>
      <c r="E96" s="384"/>
      <c r="F96" s="68" t="str">
        <f>F16</f>
        <v>норматив на 2026 год :</v>
      </c>
      <c r="G96" s="343">
        <v>1</v>
      </c>
      <c r="H96" s="67" t="str">
        <f>H94</f>
        <v xml:space="preserve">чел. </v>
      </c>
      <c r="I96" s="69">
        <v>1</v>
      </c>
      <c r="J96" s="67" t="str">
        <f>J93</f>
        <v>раз х средняя цена</v>
      </c>
      <c r="K96" s="343">
        <f>K95*1.0457</f>
        <v>3102.5088021371471</v>
      </c>
      <c r="L96" s="67" t="s">
        <v>41</v>
      </c>
      <c r="M96" s="343">
        <f t="shared" si="29"/>
        <v>3103</v>
      </c>
      <c r="N96" s="71" t="s">
        <v>37</v>
      </c>
      <c r="O96" s="70">
        <f t="shared" si="30"/>
        <v>3110</v>
      </c>
      <c r="P96" s="71" t="s">
        <v>37</v>
      </c>
      <c r="Q96" s="70"/>
      <c r="R96" s="71"/>
      <c r="S96" s="65"/>
      <c r="T96" s="382"/>
      <c r="U96" s="387"/>
      <c r="V96" s="382"/>
      <c r="W96" s="338" t="str">
        <f t="shared" si="31"/>
        <v>1,0 чел. х 1,0 раз х 3 102,51 руб. = 3 103,00 руб. = 3 110,00 руб.</v>
      </c>
    </row>
    <row r="97" spans="1:24" ht="120.75" customHeight="1" x14ac:dyDescent="0.25">
      <c r="A97" s="383" t="s">
        <v>31</v>
      </c>
      <c r="B97" s="376" t="s">
        <v>107</v>
      </c>
      <c r="C97" s="64"/>
      <c r="D97" s="378">
        <v>226</v>
      </c>
      <c r="E97" s="378">
        <v>244</v>
      </c>
      <c r="F97" s="380" t="s">
        <v>257</v>
      </c>
      <c r="G97" s="380"/>
      <c r="H97" s="380"/>
      <c r="I97" s="380"/>
      <c r="J97" s="380"/>
      <c r="K97" s="380"/>
      <c r="L97" s="380"/>
      <c r="M97" s="380"/>
      <c r="N97" s="380"/>
      <c r="O97" s="380"/>
      <c r="P97" s="380"/>
      <c r="Q97" s="380"/>
      <c r="R97" s="380"/>
      <c r="S97" s="65"/>
      <c r="T97" s="381">
        <f>O99</f>
        <v>31430</v>
      </c>
      <c r="U97" s="381">
        <f>O100</f>
        <v>32870</v>
      </c>
      <c r="V97" s="381">
        <f>O101</f>
        <v>34370</v>
      </c>
      <c r="W97" s="338" t="s">
        <v>69</v>
      </c>
    </row>
    <row r="98" spans="1:24" ht="17.25" customHeight="1" outlineLevel="1" x14ac:dyDescent="0.25">
      <c r="A98" s="383"/>
      <c r="B98" s="377"/>
      <c r="C98" s="64"/>
      <c r="D98" s="379"/>
      <c r="E98" s="384"/>
      <c r="F98" s="61">
        <v>2023</v>
      </c>
      <c r="G98" s="343">
        <v>1</v>
      </c>
      <c r="H98" s="67" t="s">
        <v>252</v>
      </c>
      <c r="I98" s="140">
        <v>222</v>
      </c>
      <c r="J98" s="67" t="s">
        <v>73</v>
      </c>
      <c r="K98" s="343"/>
      <c r="L98" s="67" t="s">
        <v>41</v>
      </c>
      <c r="M98" s="343">
        <f>ROUND((G98*I98*K98),0)</f>
        <v>0</v>
      </c>
      <c r="N98" s="67" t="s">
        <v>37</v>
      </c>
      <c r="O98" s="70">
        <f>ROUNDUP((M98),-1)</f>
        <v>0</v>
      </c>
      <c r="P98" s="71" t="s">
        <v>37</v>
      </c>
      <c r="Q98" s="67"/>
      <c r="R98" s="65"/>
      <c r="S98" s="65"/>
      <c r="T98" s="381"/>
      <c r="U98" s="381"/>
      <c r="V98" s="381"/>
    </row>
    <row r="99" spans="1:24" ht="18.75" customHeight="1" x14ac:dyDescent="0.25">
      <c r="A99" s="383"/>
      <c r="B99" s="377"/>
      <c r="C99" s="64"/>
      <c r="D99" s="379"/>
      <c r="E99" s="384"/>
      <c r="F99" s="68" t="str">
        <f>F14</f>
        <v>норматив на 2024 год :</v>
      </c>
      <c r="G99" s="343">
        <v>1</v>
      </c>
      <c r="H99" s="67" t="s">
        <v>252</v>
      </c>
      <c r="I99" s="140">
        <v>222</v>
      </c>
      <c r="J99" s="67" t="str">
        <f>J98</f>
        <v>раз х средняя цена</v>
      </c>
      <c r="K99" s="278">
        <f>135*1.0487</f>
        <v>141.5745</v>
      </c>
      <c r="L99" s="67" t="s">
        <v>41</v>
      </c>
      <c r="M99" s="343">
        <f t="shared" ref="M99:M101" si="32">ROUND((G99*I99*K99),0)</f>
        <v>31430</v>
      </c>
      <c r="N99" s="71" t="s">
        <v>37</v>
      </c>
      <c r="O99" s="70">
        <f t="shared" ref="O99:O101" si="33">ROUNDUP((M99),-1)</f>
        <v>31430</v>
      </c>
      <c r="P99" s="71" t="s">
        <v>37</v>
      </c>
      <c r="Q99" s="70"/>
      <c r="R99" s="72"/>
      <c r="S99" s="65"/>
      <c r="T99" s="381"/>
      <c r="U99" s="381"/>
      <c r="V99" s="381"/>
      <c r="W99" s="338" t="str">
        <f>""&amp;TEXT(G99,"0,0")&amp;" чел. х "&amp;TEXT(I99,"0,0")&amp;" раз х "&amp;TEXT(ROUND((K99),2),"0,00")&amp;" руб. = "&amp;TEXT(ROUND((M99),2),"0 000,00")&amp;" руб. = "&amp;TEXT(O99,"0 000,00")&amp;" руб."</f>
        <v>1,0 чел. х 222,0 раз х 141,57 руб. = 31 430,00 руб. = 31 430,00 руб.</v>
      </c>
    </row>
    <row r="100" spans="1:24" ht="19.5" customHeight="1" x14ac:dyDescent="0.25">
      <c r="A100" s="383"/>
      <c r="B100" s="377"/>
      <c r="C100" s="64"/>
      <c r="D100" s="379"/>
      <c r="E100" s="384"/>
      <c r="F100" s="68" t="str">
        <f>F15</f>
        <v>норматив на 2025 год :</v>
      </c>
      <c r="G100" s="343">
        <v>1</v>
      </c>
      <c r="H100" s="67" t="str">
        <f>H99</f>
        <v xml:space="preserve">чел. </v>
      </c>
      <c r="I100" s="140">
        <v>222</v>
      </c>
      <c r="J100" s="67" t="str">
        <f>J98</f>
        <v>раз х средняя цена</v>
      </c>
      <c r="K100" s="278">
        <f>K99*1.0457</f>
        <v>148.04445465000001</v>
      </c>
      <c r="L100" s="67" t="s">
        <v>41</v>
      </c>
      <c r="M100" s="343">
        <f t="shared" si="32"/>
        <v>32866</v>
      </c>
      <c r="N100" s="71" t="s">
        <v>37</v>
      </c>
      <c r="O100" s="70">
        <f t="shared" si="33"/>
        <v>32870</v>
      </c>
      <c r="P100" s="71" t="s">
        <v>37</v>
      </c>
      <c r="Q100" s="70"/>
      <c r="R100" s="72"/>
      <c r="S100" s="65"/>
      <c r="T100" s="381"/>
      <c r="U100" s="381"/>
      <c r="V100" s="381"/>
      <c r="W100" s="338" t="str">
        <f t="shared" ref="W100:W101" si="34">""&amp;TEXT(G100,"0,0")&amp;" чел. х "&amp;TEXT(I100,"0,0")&amp;" раз х "&amp;TEXT(ROUND((K100),2),"0,00")&amp;" руб. = "&amp;TEXT(ROUND((M100),2),"0 000,00")&amp;" руб. = "&amp;TEXT(O100,"0 000,00")&amp;" руб."</f>
        <v>1,0 чел. х 222,0 раз х 148,04 руб. = 32 866,00 руб. = 32 870,00 руб.</v>
      </c>
    </row>
    <row r="101" spans="1:24" ht="19.5" customHeight="1" x14ac:dyDescent="0.25">
      <c r="A101" s="383"/>
      <c r="B101" s="377"/>
      <c r="C101" s="64"/>
      <c r="D101" s="379"/>
      <c r="E101" s="384"/>
      <c r="F101" s="68" t="str">
        <f>F16</f>
        <v>норматив на 2026 год :</v>
      </c>
      <c r="G101" s="343">
        <v>1</v>
      </c>
      <c r="H101" s="67" t="str">
        <f>H99</f>
        <v xml:space="preserve">чел. </v>
      </c>
      <c r="I101" s="140">
        <v>222</v>
      </c>
      <c r="J101" s="67" t="str">
        <f>J98</f>
        <v>раз х средняя цена</v>
      </c>
      <c r="K101" s="278">
        <f>K100*1.0457</f>
        <v>154.81008622750502</v>
      </c>
      <c r="L101" s="67" t="s">
        <v>41</v>
      </c>
      <c r="M101" s="343">
        <f t="shared" si="32"/>
        <v>34368</v>
      </c>
      <c r="N101" s="71" t="s">
        <v>37</v>
      </c>
      <c r="O101" s="70">
        <f t="shared" si="33"/>
        <v>34370</v>
      </c>
      <c r="P101" s="71" t="s">
        <v>37</v>
      </c>
      <c r="Q101" s="70"/>
      <c r="R101" s="71"/>
      <c r="S101" s="65"/>
      <c r="T101" s="382"/>
      <c r="U101" s="382"/>
      <c r="V101" s="382"/>
      <c r="W101" s="338" t="str">
        <f t="shared" si="34"/>
        <v>1,0 чел. х 222,0 раз х 154,81 руб. = 34 368,00 руб. = 34 370,00 руб.</v>
      </c>
    </row>
    <row r="102" spans="1:24" ht="117" customHeight="1" x14ac:dyDescent="0.25">
      <c r="A102" s="383" t="s">
        <v>131</v>
      </c>
      <c r="B102" s="376" t="s">
        <v>184</v>
      </c>
      <c r="C102" s="64"/>
      <c r="D102" s="378">
        <v>226</v>
      </c>
      <c r="E102" s="378">
        <v>244</v>
      </c>
      <c r="F102" s="380" t="s">
        <v>358</v>
      </c>
      <c r="G102" s="380"/>
      <c r="H102" s="380"/>
      <c r="I102" s="380"/>
      <c r="J102" s="380"/>
      <c r="K102" s="380"/>
      <c r="L102" s="380"/>
      <c r="M102" s="380"/>
      <c r="N102" s="380"/>
      <c r="O102" s="380"/>
      <c r="P102" s="380"/>
      <c r="Q102" s="380"/>
      <c r="R102" s="380"/>
      <c r="S102" s="65"/>
      <c r="T102" s="381">
        <f>O104</f>
        <v>150110</v>
      </c>
      <c r="U102" s="381">
        <f>O105</f>
        <v>156970</v>
      </c>
      <c r="V102" s="381">
        <f>O106</f>
        <v>164150</v>
      </c>
      <c r="W102" s="338" t="s">
        <v>374</v>
      </c>
    </row>
    <row r="103" spans="1:24" ht="16.5" customHeight="1" outlineLevel="1" x14ac:dyDescent="0.25">
      <c r="A103" s="383"/>
      <c r="B103" s="377"/>
      <c r="C103" s="64"/>
      <c r="D103" s="379"/>
      <c r="E103" s="384"/>
      <c r="F103" s="61"/>
      <c r="G103" s="343">
        <v>8760</v>
      </c>
      <c r="H103" s="65" t="s">
        <v>375</v>
      </c>
      <c r="I103" s="343"/>
      <c r="J103" s="67" t="s">
        <v>250</v>
      </c>
      <c r="K103" s="343">
        <f>I103*G103</f>
        <v>0</v>
      </c>
      <c r="L103" s="67" t="s">
        <v>41</v>
      </c>
      <c r="M103" s="343">
        <f>ROUND((K103),0)</f>
        <v>0</v>
      </c>
      <c r="N103" s="67" t="s">
        <v>37</v>
      </c>
      <c r="O103" s="70">
        <f>ROUNDUP((M103),-1)</f>
        <v>0</v>
      </c>
      <c r="P103" s="71" t="s">
        <v>37</v>
      </c>
      <c r="Q103" s="67"/>
      <c r="R103" s="65"/>
      <c r="S103" s="65"/>
      <c r="T103" s="381"/>
      <c r="U103" s="381"/>
      <c r="V103" s="381"/>
      <c r="W103" s="338"/>
    </row>
    <row r="104" spans="1:24" ht="21" customHeight="1" x14ac:dyDescent="0.25">
      <c r="A104" s="383"/>
      <c r="B104" s="377"/>
      <c r="C104" s="64"/>
      <c r="D104" s="379"/>
      <c r="E104" s="384"/>
      <c r="F104" s="68" t="str">
        <f>F14</f>
        <v>норматив на 2024 год :</v>
      </c>
      <c r="G104" s="343">
        <v>8760</v>
      </c>
      <c r="H104" s="65" t="s">
        <v>375</v>
      </c>
      <c r="I104" s="278">
        <f>16.34*1.0487</f>
        <v>17.135757999999999</v>
      </c>
      <c r="J104" s="67" t="str">
        <f>J103</f>
        <v>руб. цена одного часа</v>
      </c>
      <c r="K104" s="343">
        <f t="shared" ref="K104:K106" si="35">I104*G104</f>
        <v>150109.24007999999</v>
      </c>
      <c r="L104" s="67" t="s">
        <v>41</v>
      </c>
      <c r="M104" s="343">
        <f t="shared" ref="M104:M106" si="36">ROUND((K104),0)</f>
        <v>150109</v>
      </c>
      <c r="N104" s="71" t="s">
        <v>37</v>
      </c>
      <c r="O104" s="70">
        <f t="shared" ref="O104:O106" si="37">ROUNDUP((M104),-1)</f>
        <v>150110</v>
      </c>
      <c r="P104" s="71" t="s">
        <v>37</v>
      </c>
      <c r="Q104" s="70"/>
      <c r="R104" s="71"/>
      <c r="S104" s="65"/>
      <c r="T104" s="381"/>
      <c r="U104" s="381"/>
      <c r="V104" s="381"/>
      <c r="W104" s="338" t="str">
        <f>""&amp;TEXT($G$103,"0,0")&amp;" х "&amp;TEXT($I$104,"00,00")&amp;" руб. х "&amp;TEXT(ROUND((K104),2),"0 000,00")&amp;" руб. = "&amp;TEXT(ROUND(M104,2),"0 000,00")&amp;" руб. = "&amp;TEXT(O104,"0 000,00")&amp;" руб."</f>
        <v>8760,0 х 17,14 руб. х 150 109,24 руб. = 150 109,00 руб. = 150 110,00 руб.</v>
      </c>
    </row>
    <row r="105" spans="1:24" ht="21" customHeight="1" x14ac:dyDescent="0.25">
      <c r="A105" s="383"/>
      <c r="B105" s="377"/>
      <c r="C105" s="64"/>
      <c r="D105" s="379"/>
      <c r="E105" s="384"/>
      <c r="F105" s="68" t="str">
        <f>F15</f>
        <v>норматив на 2025 год :</v>
      </c>
      <c r="G105" s="343">
        <v>8760</v>
      </c>
      <c r="H105" s="65" t="s">
        <v>375</v>
      </c>
      <c r="I105" s="278">
        <f>I104*1.0457</f>
        <v>17.918862140600002</v>
      </c>
      <c r="J105" s="67" t="str">
        <f>J103</f>
        <v>руб. цена одного часа</v>
      </c>
      <c r="K105" s="343">
        <f t="shared" si="35"/>
        <v>156969.23235165601</v>
      </c>
      <c r="L105" s="67" t="s">
        <v>41</v>
      </c>
      <c r="M105" s="343">
        <f t="shared" si="36"/>
        <v>156969</v>
      </c>
      <c r="N105" s="71" t="s">
        <v>37</v>
      </c>
      <c r="O105" s="70">
        <f t="shared" si="37"/>
        <v>156970</v>
      </c>
      <c r="P105" s="71" t="s">
        <v>37</v>
      </c>
      <c r="Q105" s="70"/>
      <c r="R105" s="71"/>
      <c r="S105" s="65"/>
      <c r="T105" s="381"/>
      <c r="U105" s="381"/>
      <c r="V105" s="381"/>
      <c r="W105" s="338" t="str">
        <f>""&amp;TEXT($G$103,"0,0")&amp;" х "&amp;TEXT($I$105,"0,00")&amp;" раз х "&amp;TEXT(ROUND((K105),2),"0 000,00")&amp;" руб. = "&amp;TEXT(ROUND(M105,2),"0 000,00")&amp;" руб. = "&amp;TEXT(O105,"0 000,00")&amp;" руб."</f>
        <v>8760,0 х 17,92 раз х 156 969,23 руб. = 156 969,00 руб. = 156 970,00 руб.</v>
      </c>
    </row>
    <row r="106" spans="1:24" ht="21" customHeight="1" x14ac:dyDescent="0.25">
      <c r="A106" s="383"/>
      <c r="B106" s="377"/>
      <c r="C106" s="64"/>
      <c r="D106" s="379"/>
      <c r="E106" s="384"/>
      <c r="F106" s="68" t="str">
        <f>F16</f>
        <v>норматив на 2026 год :</v>
      </c>
      <c r="G106" s="343">
        <v>8760</v>
      </c>
      <c r="H106" s="65" t="s">
        <v>375</v>
      </c>
      <c r="I106" s="278">
        <f>I105*1.0457</f>
        <v>18.737754140425423</v>
      </c>
      <c r="J106" s="67" t="str">
        <f>J103</f>
        <v>руб. цена одного часа</v>
      </c>
      <c r="K106" s="343">
        <f t="shared" si="35"/>
        <v>164142.7262701267</v>
      </c>
      <c r="L106" s="67" t="s">
        <v>41</v>
      </c>
      <c r="M106" s="343">
        <f t="shared" si="36"/>
        <v>164143</v>
      </c>
      <c r="N106" s="71" t="s">
        <v>37</v>
      </c>
      <c r="O106" s="70">
        <f t="shared" si="37"/>
        <v>164150</v>
      </c>
      <c r="P106" s="71" t="s">
        <v>37</v>
      </c>
      <c r="Q106" s="70"/>
      <c r="R106" s="71"/>
      <c r="S106" s="65"/>
      <c r="T106" s="382"/>
      <c r="U106" s="382"/>
      <c r="V106" s="382"/>
      <c r="W106" s="338" t="str">
        <f>""&amp;TEXT($G$103,"0,0")&amp;" х "&amp;TEXT($I$106,"0,00")&amp;" раз х "&amp;TEXT(ROUND((K106),2),"0 000,00")&amp;" руб. = "&amp;TEXT(ROUND(M106,2),"0 000,00")&amp;" руб. = "&amp;TEXT(O106,"0 000,00")&amp;" руб."</f>
        <v>8760,0 х 18,74 раз х 164 142,73 руб. = 164 143,00 руб. = 164 150,00 руб.</v>
      </c>
    </row>
    <row r="107" spans="1:24" ht="75" x14ac:dyDescent="0.25">
      <c r="A107" s="383" t="s">
        <v>349</v>
      </c>
      <c r="B107" s="376" t="s">
        <v>108</v>
      </c>
      <c r="C107" s="64"/>
      <c r="D107" s="378">
        <v>227</v>
      </c>
      <c r="E107" s="378">
        <v>244</v>
      </c>
      <c r="F107" s="380" t="s">
        <v>257</v>
      </c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380"/>
      <c r="S107" s="65"/>
      <c r="T107" s="381">
        <f>O109</f>
        <v>14660</v>
      </c>
      <c r="U107" s="381">
        <f>O110</f>
        <v>15330</v>
      </c>
      <c r="V107" s="381">
        <f>O111</f>
        <v>16030</v>
      </c>
      <c r="W107" s="338" t="s">
        <v>71</v>
      </c>
    </row>
    <row r="108" spans="1:24" ht="15.75" customHeight="1" outlineLevel="1" x14ac:dyDescent="0.25">
      <c r="A108" s="383"/>
      <c r="B108" s="377"/>
      <c r="C108" s="64"/>
      <c r="D108" s="379"/>
      <c r="E108" s="384"/>
      <c r="F108" s="61"/>
      <c r="G108" s="343">
        <v>1</v>
      </c>
      <c r="H108" s="65"/>
      <c r="I108" s="343"/>
      <c r="J108" s="67"/>
      <c r="K108" s="343"/>
      <c r="L108" s="67"/>
      <c r="M108" s="67"/>
      <c r="N108" s="67"/>
      <c r="O108" s="67"/>
      <c r="P108" s="67"/>
      <c r="Q108" s="67"/>
      <c r="R108" s="65"/>
      <c r="S108" s="65"/>
      <c r="T108" s="381"/>
      <c r="U108" s="381"/>
      <c r="V108" s="381"/>
      <c r="W108" s="338"/>
    </row>
    <row r="109" spans="1:24" ht="19.5" customHeight="1" x14ac:dyDescent="0.25">
      <c r="A109" s="383"/>
      <c r="B109" s="377"/>
      <c r="C109" s="64"/>
      <c r="D109" s="379"/>
      <c r="E109" s="384"/>
      <c r="F109" s="68" t="str">
        <f>F14</f>
        <v>норматив на 2024 год :</v>
      </c>
      <c r="G109" s="343">
        <v>1</v>
      </c>
      <c r="H109" s="65" t="s">
        <v>376</v>
      </c>
      <c r="I109" s="278">
        <f>13975.9*1.0487</f>
        <v>14656.526329999999</v>
      </c>
      <c r="J109" s="67" t="s">
        <v>41</v>
      </c>
      <c r="K109" s="343">
        <f>I109*G109</f>
        <v>14656.526329999999</v>
      </c>
      <c r="L109" s="67" t="s">
        <v>41</v>
      </c>
      <c r="M109" s="70">
        <f>ROUNDUP((K109),0)</f>
        <v>14657</v>
      </c>
      <c r="N109" s="71" t="s">
        <v>37</v>
      </c>
      <c r="O109" s="70">
        <f>ROUNDUP((M109),-1)</f>
        <v>14660</v>
      </c>
      <c r="P109" s="71" t="s">
        <v>37</v>
      </c>
      <c r="Q109" s="72"/>
      <c r="R109" s="72"/>
      <c r="S109" s="65"/>
      <c r="T109" s="381"/>
      <c r="U109" s="381"/>
      <c r="V109" s="381"/>
      <c r="W109" s="338" t="str">
        <f>""&amp;TEXT(G109,"0,0")&amp;" авт. х "&amp;TEXT(ROUND((I109),2),"0 000,00")&amp;" руб. = "&amp;TEXT(ROUND(($G$108*(ROUND((K109/$G$108),2))),2),"0 000,00")&amp;" руб. = "&amp;TEXT(M109,"0 000,00")&amp;" руб. = "&amp;TEXT(O109,"0 000,00")&amp;" руб."</f>
        <v>1,0 авт. х 14 656,53 руб. = 14 656,53 руб. = 14 657,00 руб. = 14 660,00 руб.</v>
      </c>
    </row>
    <row r="110" spans="1:24" ht="19.5" customHeight="1" x14ac:dyDescent="0.25">
      <c r="A110" s="383"/>
      <c r="B110" s="377"/>
      <c r="C110" s="64"/>
      <c r="D110" s="379"/>
      <c r="E110" s="384"/>
      <c r="F110" s="68" t="str">
        <f>F15</f>
        <v>норматив на 2025 год :</v>
      </c>
      <c r="G110" s="343">
        <v>1</v>
      </c>
      <c r="H110" s="65" t="s">
        <v>376</v>
      </c>
      <c r="I110" s="278">
        <f>I109*1.0457</f>
        <v>15326.329583281</v>
      </c>
      <c r="J110" s="67" t="s">
        <v>41</v>
      </c>
      <c r="K110" s="343">
        <f t="shared" ref="K110:K111" si="38">I110*G110</f>
        <v>15326.329583281</v>
      </c>
      <c r="L110" s="67" t="s">
        <v>41</v>
      </c>
      <c r="M110" s="70">
        <f t="shared" ref="M110:M111" si="39">ROUNDUP((K110),0)</f>
        <v>15327</v>
      </c>
      <c r="N110" s="71" t="s">
        <v>37</v>
      </c>
      <c r="O110" s="70">
        <f t="shared" ref="O110:O111" si="40">ROUNDUP((M110),-1)</f>
        <v>15330</v>
      </c>
      <c r="P110" s="71" t="s">
        <v>37</v>
      </c>
      <c r="Q110" s="72"/>
      <c r="R110" s="72"/>
      <c r="S110" s="65"/>
      <c r="T110" s="381"/>
      <c r="U110" s="381"/>
      <c r="V110" s="381"/>
      <c r="W110" s="338" t="str">
        <f>""&amp;TEXT(G110,"0,0")&amp;" авт. х "&amp;TEXT(ROUND((K110/$G$108),2),"0 000,00")&amp;" руб. = "&amp;TEXT(ROUND(($G$108*(ROUND((K110/$G$108),2))),2),"0 000,00")&amp;" руб. = "&amp;TEXT(M110,"0 000,00")&amp;" руб. = "&amp;TEXT(O110,"0 000,00")&amp;" руб."</f>
        <v>1,0 авт. х 15 326,33 руб. = 15 326,33 руб. = 15 327,00 руб. = 15 330,00 руб.</v>
      </c>
    </row>
    <row r="111" spans="1:24" s="95" customFormat="1" ht="19.5" customHeight="1" x14ac:dyDescent="0.25">
      <c r="A111" s="383"/>
      <c r="B111" s="377"/>
      <c r="C111" s="64"/>
      <c r="D111" s="379"/>
      <c r="E111" s="384"/>
      <c r="F111" s="68" t="str">
        <f>F16</f>
        <v>норматив на 2026 год :</v>
      </c>
      <c r="G111" s="343">
        <v>1</v>
      </c>
      <c r="H111" s="65" t="s">
        <v>376</v>
      </c>
      <c r="I111" s="278">
        <f>I110*1.0457</f>
        <v>16026.742845236942</v>
      </c>
      <c r="J111" s="67" t="s">
        <v>41</v>
      </c>
      <c r="K111" s="343">
        <f t="shared" si="38"/>
        <v>16026.742845236942</v>
      </c>
      <c r="L111" s="67" t="s">
        <v>41</v>
      </c>
      <c r="M111" s="70">
        <f t="shared" si="39"/>
        <v>16027</v>
      </c>
      <c r="N111" s="71" t="s">
        <v>37</v>
      </c>
      <c r="O111" s="70">
        <f t="shared" si="40"/>
        <v>16030</v>
      </c>
      <c r="P111" s="71" t="s">
        <v>37</v>
      </c>
      <c r="Q111" s="70"/>
      <c r="R111" s="71"/>
      <c r="S111" s="65"/>
      <c r="T111" s="382"/>
      <c r="U111" s="382"/>
      <c r="V111" s="382"/>
      <c r="W111" s="338" t="str">
        <f>""&amp;TEXT(G111,"0,0")&amp;" авт. х "&amp;TEXT(ROUND((K111/$G$108),2),"0 000,00")&amp;" руб. = "&amp;TEXT(ROUND(($G$108*(ROUND((K111/$G$108),2))),2),"0 000,00")&amp;" руб. = "&amp;TEXT(M111,"0 000,00")&amp;" руб. = "&amp;TEXT(O111,"0 000,00")&amp;" руб."</f>
        <v>1,0 авт. х 16 026,74 руб. = 16 026,74 руб. = 16 027,00 руб. = 16 030,00 руб.</v>
      </c>
      <c r="X111" s="94"/>
    </row>
    <row r="112" spans="1:24" s="95" customFormat="1" ht="106.5" customHeight="1" x14ac:dyDescent="0.25">
      <c r="A112" s="284" t="s">
        <v>14</v>
      </c>
      <c r="B112" s="347" t="s">
        <v>101</v>
      </c>
      <c r="C112" s="52"/>
      <c r="D112" s="248" t="s">
        <v>35</v>
      </c>
      <c r="E112" s="248" t="s">
        <v>35</v>
      </c>
      <c r="F112" s="423"/>
      <c r="G112" s="424"/>
      <c r="H112" s="424"/>
      <c r="I112" s="424"/>
      <c r="J112" s="424"/>
      <c r="K112" s="424"/>
      <c r="L112" s="424"/>
      <c r="M112" s="424"/>
      <c r="N112" s="424"/>
      <c r="O112" s="424"/>
      <c r="P112" s="424"/>
      <c r="Q112" s="424"/>
      <c r="R112" s="424"/>
      <c r="S112" s="424"/>
      <c r="T112" s="254">
        <f>SUM(T113:T131)</f>
        <v>3905170</v>
      </c>
      <c r="U112" s="254">
        <f t="shared" ref="U112:V112" si="41">SUM(U113:U131)</f>
        <v>4078260</v>
      </c>
      <c r="V112" s="254">
        <f t="shared" si="41"/>
        <v>4256680</v>
      </c>
      <c r="W112" s="86" t="str">
        <f>"Нормативные "&amp;TEXT(B112,"0")&amp;" включают в себя:
нормативные "&amp;TEXT(B113,"0")&amp;";
нормативные "&amp;TEXT(B117,"0")&amp;"; нормативные "&amp;TEXT(B122,"0")&amp;";
нормативные "&amp;TEXT(B127,"0")&amp;""</f>
        <v>Нормативные затраты на приобретение основных средств включают в себя:
нормативные затраты на приобретение  комплекта мебели;
нормативные затраты на приобретение систем кондиционирования; нормативные затраты на приобретение огнетушителей ;
нормативные Затраты на приобретение прочих основных средств для обеспечения деятельности учреждения</v>
      </c>
    </row>
    <row r="113" spans="1:24" s="95" customFormat="1" ht="121.5" customHeight="1" x14ac:dyDescent="0.25">
      <c r="A113" s="469" t="s">
        <v>15</v>
      </c>
      <c r="B113" s="431" t="s">
        <v>383</v>
      </c>
      <c r="C113" s="64"/>
      <c r="D113" s="394">
        <v>310</v>
      </c>
      <c r="E113" s="394">
        <v>244</v>
      </c>
      <c r="F113" s="472" t="s">
        <v>260</v>
      </c>
      <c r="G113" s="473"/>
      <c r="H113" s="473"/>
      <c r="I113" s="473"/>
      <c r="J113" s="473"/>
      <c r="K113" s="473"/>
      <c r="L113" s="473"/>
      <c r="M113" s="473"/>
      <c r="N113" s="473"/>
      <c r="O113" s="473"/>
      <c r="P113" s="473"/>
      <c r="Q113" s="473"/>
      <c r="R113" s="474"/>
      <c r="S113" s="65"/>
      <c r="T113" s="385">
        <f>Q114</f>
        <v>1314530</v>
      </c>
      <c r="U113" s="385">
        <f>Q115</f>
        <v>1369220</v>
      </c>
      <c r="V113" s="385">
        <f>Q116</f>
        <v>1423850</v>
      </c>
      <c r="W113" s="338" t="s">
        <v>54</v>
      </c>
    </row>
    <row r="114" spans="1:24" s="95" customFormat="1" ht="21" customHeight="1" x14ac:dyDescent="0.25">
      <c r="A114" s="470"/>
      <c r="B114" s="432"/>
      <c r="C114" s="64"/>
      <c r="D114" s="395"/>
      <c r="E114" s="395"/>
      <c r="F114" s="68" t="str">
        <f>F14</f>
        <v>норматив на 2024 год :</v>
      </c>
      <c r="G114" s="332">
        <v>49372</v>
      </c>
      <c r="H114" s="67" t="s">
        <v>42</v>
      </c>
      <c r="I114" s="343">
        <v>213</v>
      </c>
      <c r="J114" s="67" t="s">
        <v>45</v>
      </c>
      <c r="K114" s="343">
        <v>8</v>
      </c>
      <c r="L114" s="67" t="s">
        <v>43</v>
      </c>
      <c r="M114" s="343">
        <v>0</v>
      </c>
      <c r="N114" s="67" t="s">
        <v>44</v>
      </c>
      <c r="O114" s="343">
        <f>ROUND((G114*(I114/K114+M114)),2)</f>
        <v>1314529.5</v>
      </c>
      <c r="P114" s="67" t="s">
        <v>332</v>
      </c>
      <c r="Q114" s="70">
        <f t="shared" ref="Q114:Q116" si="42">ROUNDUP((O114),-1)</f>
        <v>1314530</v>
      </c>
      <c r="R114" s="71" t="s">
        <v>37</v>
      </c>
      <c r="S114" s="65"/>
      <c r="T114" s="386"/>
      <c r="U114" s="386"/>
      <c r="V114" s="386"/>
      <c r="W114" s="338" t="str">
        <f>"норматив "&amp;TEXT(G114,"0 000,00")&amp;" руб. х ("&amp;TEXT(I114,"000,00")&amp;" шт.ед. : срок "&amp;TEXT(K114,"0")&amp;" лет + "&amp;TEXT(M114,"0,00")&amp;" шт.ед.) = "&amp;TEXT(O114,"0 000,00")&amp;" руб. = "&amp;TEXT(Q114,"0 000,00")&amp;" руб."</f>
        <v>норматив 49 372,00 руб. х (213,00 шт.ед. : срок 8 лет + 0,00 шт.ед.) = 1 314 529,50 руб. = 1 314 530,00 руб.</v>
      </c>
      <c r="X114" s="94"/>
    </row>
    <row r="115" spans="1:24" s="95" customFormat="1" ht="21" customHeight="1" x14ac:dyDescent="0.25">
      <c r="A115" s="470"/>
      <c r="B115" s="432"/>
      <c r="C115" s="64"/>
      <c r="D115" s="395"/>
      <c r="E115" s="395"/>
      <c r="F115" s="68" t="str">
        <f>F15</f>
        <v>норматив на 2025 год :</v>
      </c>
      <c r="G115" s="332">
        <v>51425.88</v>
      </c>
      <c r="H115" s="67" t="s">
        <v>42</v>
      </c>
      <c r="I115" s="343">
        <v>213</v>
      </c>
      <c r="J115" s="67" t="s">
        <v>45</v>
      </c>
      <c r="K115" s="343">
        <v>8</v>
      </c>
      <c r="L115" s="67" t="s">
        <v>43</v>
      </c>
      <c r="M115" s="343">
        <v>0</v>
      </c>
      <c r="N115" s="67" t="s">
        <v>44</v>
      </c>
      <c r="O115" s="343">
        <f>ROUND((G115*(I115/K115+M115)),2)</f>
        <v>1369214.06</v>
      </c>
      <c r="P115" s="67" t="s">
        <v>332</v>
      </c>
      <c r="Q115" s="70">
        <f t="shared" si="42"/>
        <v>1369220</v>
      </c>
      <c r="R115" s="71" t="s">
        <v>37</v>
      </c>
      <c r="S115" s="65"/>
      <c r="T115" s="386"/>
      <c r="U115" s="386"/>
      <c r="V115" s="386"/>
      <c r="W115" s="338" t="str">
        <f t="shared" ref="W115:W116" si="43">"норматив "&amp;TEXT(G115,"0 000,00")&amp;" руб. х ("&amp;TEXT(I115,"000,00")&amp;" шт.ед. : срок "&amp;TEXT(K115,"0")&amp;" лет + "&amp;TEXT(M115,"0,00")&amp;" шт.ед.) = "&amp;TEXT(O115,"0 000,00")&amp;" руб. = "&amp;TEXT(Q115,"0 000,00")&amp;" руб."</f>
        <v>норматив 51 425,88 руб. х (213,00 шт.ед. : срок 8 лет + 0,00 шт.ед.) = 1 369 214,06 руб. = 1 369 220,00 руб.</v>
      </c>
      <c r="X115" s="94"/>
    </row>
    <row r="116" spans="1:24" s="95" customFormat="1" ht="21" customHeight="1" x14ac:dyDescent="0.25">
      <c r="A116" s="471"/>
      <c r="B116" s="433"/>
      <c r="C116" s="64"/>
      <c r="D116" s="396"/>
      <c r="E116" s="396"/>
      <c r="F116" s="68" t="str">
        <f>F16</f>
        <v>норматив на 2026 год :</v>
      </c>
      <c r="G116" s="332">
        <v>53477.77</v>
      </c>
      <c r="H116" s="67" t="s">
        <v>42</v>
      </c>
      <c r="I116" s="343">
        <v>213</v>
      </c>
      <c r="J116" s="67" t="s">
        <v>45</v>
      </c>
      <c r="K116" s="343">
        <v>8</v>
      </c>
      <c r="L116" s="67" t="s">
        <v>43</v>
      </c>
      <c r="M116" s="343">
        <v>0</v>
      </c>
      <c r="N116" s="67" t="s">
        <v>44</v>
      </c>
      <c r="O116" s="343">
        <f>ROUND((G116*(I116/K116+M116)),2)</f>
        <v>1423845.63</v>
      </c>
      <c r="P116" s="67" t="s">
        <v>332</v>
      </c>
      <c r="Q116" s="70">
        <f t="shared" si="42"/>
        <v>1423850</v>
      </c>
      <c r="R116" s="71" t="s">
        <v>37</v>
      </c>
      <c r="S116" s="61"/>
      <c r="T116" s="387"/>
      <c r="U116" s="387"/>
      <c r="V116" s="387"/>
      <c r="W116" s="338" t="str">
        <f t="shared" si="43"/>
        <v>норматив 53 477,77 руб. х (213,00 шт.ед. : срок 8 лет + 0,00 шт.ед.) = 1 423 845,63 руб. = 1 423 850,00 руб.</v>
      </c>
    </row>
    <row r="117" spans="1:24" ht="75" x14ac:dyDescent="0.25">
      <c r="A117" s="388" t="s">
        <v>181</v>
      </c>
      <c r="B117" s="391" t="s">
        <v>147</v>
      </c>
      <c r="C117" s="64"/>
      <c r="D117" s="378">
        <v>310</v>
      </c>
      <c r="E117" s="378">
        <v>244</v>
      </c>
      <c r="F117" s="380" t="s">
        <v>249</v>
      </c>
      <c r="G117" s="380"/>
      <c r="H117" s="380"/>
      <c r="I117" s="380"/>
      <c r="J117" s="380"/>
      <c r="K117" s="380"/>
      <c r="L117" s="380"/>
      <c r="M117" s="380"/>
      <c r="N117" s="380"/>
      <c r="O117" s="380"/>
      <c r="P117" s="380"/>
      <c r="Q117" s="380"/>
      <c r="R117" s="380"/>
      <c r="S117" s="65"/>
      <c r="T117" s="381">
        <f>O119</f>
        <v>1671450</v>
      </c>
      <c r="U117" s="381">
        <f>O120</f>
        <v>1747840</v>
      </c>
      <c r="V117" s="381">
        <f>O121</f>
        <v>1827710</v>
      </c>
      <c r="W117" s="338" t="s">
        <v>169</v>
      </c>
    </row>
    <row r="118" spans="1:24" ht="24" customHeight="1" outlineLevel="1" x14ac:dyDescent="0.25">
      <c r="A118" s="389"/>
      <c r="B118" s="392"/>
      <c r="C118" s="64"/>
      <c r="D118" s="378"/>
      <c r="E118" s="378"/>
      <c r="F118" s="61">
        <v>2022</v>
      </c>
      <c r="G118" s="343">
        <v>30</v>
      </c>
      <c r="H118" s="67" t="s">
        <v>78</v>
      </c>
      <c r="I118" s="343">
        <v>49092.21</v>
      </c>
      <c r="J118" s="67" t="s">
        <v>41</v>
      </c>
      <c r="K118" s="343">
        <f>ROUND((G118*I118),2)</f>
        <v>1472766.3</v>
      </c>
      <c r="L118" s="67" t="s">
        <v>37</v>
      </c>
      <c r="M118" s="70">
        <f>ROUNDUP((K118),0)</f>
        <v>1472767</v>
      </c>
      <c r="N118" s="71" t="s">
        <v>37</v>
      </c>
      <c r="O118" s="70">
        <f t="shared" ref="O118:O131" si="44">ROUNDUP((M118),-1)</f>
        <v>1472770</v>
      </c>
      <c r="P118" s="67" t="s">
        <v>332</v>
      </c>
      <c r="Q118" s="67"/>
      <c r="R118" s="65"/>
      <c r="S118" s="65"/>
      <c r="T118" s="381"/>
      <c r="U118" s="381"/>
      <c r="V118" s="381"/>
      <c r="W118" s="338"/>
    </row>
    <row r="119" spans="1:24" ht="24.75" customHeight="1" x14ac:dyDescent="0.25">
      <c r="A119" s="389"/>
      <c r="B119" s="429"/>
      <c r="C119" s="64"/>
      <c r="D119" s="379"/>
      <c r="E119" s="379"/>
      <c r="F119" s="68" t="str">
        <f>F14</f>
        <v>норматив на 2024 год :</v>
      </c>
      <c r="G119" s="343">
        <v>30</v>
      </c>
      <c r="H119" s="67" t="s">
        <v>78</v>
      </c>
      <c r="I119" s="277">
        <f>I118*1.0822*1.0487</f>
        <v>55714.903278539394</v>
      </c>
      <c r="J119" s="67" t="s">
        <v>41</v>
      </c>
      <c r="K119" s="343">
        <f>ROUND((G119*I119),2)</f>
        <v>1671447.1</v>
      </c>
      <c r="L119" s="67" t="s">
        <v>41</v>
      </c>
      <c r="M119" s="70">
        <f t="shared" ref="M119:M121" si="45">ROUNDUP((K119),0)</f>
        <v>1671448</v>
      </c>
      <c r="N119" s="71" t="s">
        <v>37</v>
      </c>
      <c r="O119" s="70">
        <f t="shared" si="44"/>
        <v>1671450</v>
      </c>
      <c r="P119" s="67" t="s">
        <v>332</v>
      </c>
      <c r="Q119" s="67"/>
      <c r="R119" s="65"/>
      <c r="S119" s="65"/>
      <c r="T119" s="381"/>
      <c r="U119" s="381"/>
      <c r="V119" s="381"/>
      <c r="W119" s="338" t="str">
        <f>""&amp;TEXT(G119,"0,0")&amp;" шт. х "&amp;TEXT(ROUND((I119),2),"000,00")&amp;" руб. = "&amp;TEXT(ROUND(($G$129*(ROUND((K119/$G$129),2))),2),"0 000,00")&amp;" руб. = "&amp;TEXT(M119,"0 000,00")&amp;" руб. = "&amp;TEXT(O119,"0 000,00")&amp;" руб."</f>
        <v>30,0 шт. х 55714,90 руб. = 1 671 447,10 руб. = 1 671 448,00 руб. = 1 671 450,00 руб.</v>
      </c>
    </row>
    <row r="120" spans="1:24" ht="20.25" customHeight="1" outlineLevel="1" x14ac:dyDescent="0.25">
      <c r="A120" s="389"/>
      <c r="B120" s="429"/>
      <c r="C120" s="64"/>
      <c r="D120" s="379"/>
      <c r="E120" s="379"/>
      <c r="F120" s="68" t="str">
        <f>F15</f>
        <v>норматив на 2025 год :</v>
      </c>
      <c r="G120" s="343">
        <v>30</v>
      </c>
      <c r="H120" s="67" t="s">
        <v>78</v>
      </c>
      <c r="I120" s="277">
        <f>I119*1.0457</f>
        <v>58261.074358368649</v>
      </c>
      <c r="J120" s="67" t="s">
        <v>41</v>
      </c>
      <c r="K120" s="343">
        <f t="shared" ref="K120:K121" si="46">ROUND((G120*I120),2)</f>
        <v>1747832.23</v>
      </c>
      <c r="L120" s="67" t="s">
        <v>41</v>
      </c>
      <c r="M120" s="70">
        <f t="shared" si="45"/>
        <v>1747833</v>
      </c>
      <c r="N120" s="71" t="s">
        <v>37</v>
      </c>
      <c r="O120" s="70">
        <f t="shared" si="44"/>
        <v>1747840</v>
      </c>
      <c r="P120" s="67" t="s">
        <v>332</v>
      </c>
      <c r="Q120" s="93"/>
      <c r="R120" s="67"/>
      <c r="S120" s="65"/>
      <c r="T120" s="381"/>
      <c r="U120" s="381"/>
      <c r="V120" s="381"/>
      <c r="W120" s="338" t="str">
        <f>""&amp;TEXT(G120,"0,0")&amp;" шт. х "&amp;TEXT(ROUND((I120),2),"000,00")&amp;" руб. = "&amp;TEXT(ROUND(($G$129*(ROUND((K120/$G$129),2))),2),"0 000,00")&amp;" руб. = "&amp;TEXT(M120,"0 000,00")&amp;" руб. = "&amp;TEXT(O120,"0 000,00")&amp;" руб."</f>
        <v>30,0 шт. х 58261,07 руб. = 1 747 832,23 руб. = 1 747 833,00 руб. = 1 747 840,00 руб.</v>
      </c>
    </row>
    <row r="121" spans="1:24" ht="21" customHeight="1" outlineLevel="1" x14ac:dyDescent="0.25">
      <c r="A121" s="390"/>
      <c r="B121" s="430"/>
      <c r="C121" s="64"/>
      <c r="D121" s="379"/>
      <c r="E121" s="379"/>
      <c r="F121" s="68" t="str">
        <f>F16</f>
        <v>норматив на 2026 год :</v>
      </c>
      <c r="G121" s="343">
        <v>30</v>
      </c>
      <c r="H121" s="67" t="s">
        <v>78</v>
      </c>
      <c r="I121" s="277">
        <f>I120*1.0457</f>
        <v>60923.605456546102</v>
      </c>
      <c r="J121" s="67" t="s">
        <v>41</v>
      </c>
      <c r="K121" s="343">
        <f t="shared" si="46"/>
        <v>1827708.16</v>
      </c>
      <c r="L121" s="67" t="s">
        <v>41</v>
      </c>
      <c r="M121" s="70">
        <f t="shared" si="45"/>
        <v>1827709</v>
      </c>
      <c r="N121" s="71" t="s">
        <v>37</v>
      </c>
      <c r="O121" s="70">
        <f t="shared" si="44"/>
        <v>1827710</v>
      </c>
      <c r="P121" s="67" t="s">
        <v>332</v>
      </c>
      <c r="Q121" s="99"/>
      <c r="R121" s="71"/>
      <c r="S121" s="65"/>
      <c r="T121" s="381"/>
      <c r="U121" s="381"/>
      <c r="V121" s="381"/>
      <c r="W121" s="338" t="str">
        <f>""&amp;TEXT(G121,"0,0")&amp;" шт. х "&amp;TEXT(ROUND((I121),2),"000,00")&amp;" руб. = "&amp;TEXT(ROUND(($G$129*(ROUND((K121/$G$129),2))),2),"0 000,00")&amp;" руб. = "&amp;TEXT(M121,"0 000,00")&amp;" руб. = "&amp;TEXT(O121,"0 000,00")&amp;" руб."</f>
        <v>30,0 шт. х 60923,61 руб. = 1 827 708,16 руб. = 1 827 709,00 руб. = 1 827 710,00 руб.</v>
      </c>
    </row>
    <row r="122" spans="1:24" ht="90.75" customHeight="1" outlineLevel="1" x14ac:dyDescent="0.25">
      <c r="A122" s="388" t="s">
        <v>173</v>
      </c>
      <c r="B122" s="391" t="s">
        <v>361</v>
      </c>
      <c r="C122" s="64"/>
      <c r="D122" s="378">
        <v>310</v>
      </c>
      <c r="E122" s="378">
        <v>244</v>
      </c>
      <c r="F122" s="380" t="s">
        <v>249</v>
      </c>
      <c r="G122" s="380"/>
      <c r="H122" s="380"/>
      <c r="I122" s="380"/>
      <c r="J122" s="380"/>
      <c r="K122" s="380"/>
      <c r="L122" s="380"/>
      <c r="M122" s="380"/>
      <c r="N122" s="380"/>
      <c r="O122" s="380"/>
      <c r="P122" s="380"/>
      <c r="Q122" s="380"/>
      <c r="R122" s="380"/>
      <c r="S122" s="65"/>
      <c r="T122" s="381">
        <f>O124</f>
        <v>64750</v>
      </c>
      <c r="U122" s="381">
        <f>O125</f>
        <v>67710</v>
      </c>
      <c r="V122" s="381">
        <f>O126</f>
        <v>70800</v>
      </c>
      <c r="W122" s="338" t="s">
        <v>297</v>
      </c>
    </row>
    <row r="123" spans="1:24" ht="21" customHeight="1" outlineLevel="1" x14ac:dyDescent="0.25">
      <c r="A123" s="389"/>
      <c r="B123" s="392"/>
      <c r="C123" s="64"/>
      <c r="D123" s="378"/>
      <c r="E123" s="378"/>
      <c r="F123" s="61">
        <v>2022</v>
      </c>
      <c r="G123" s="343">
        <v>61</v>
      </c>
      <c r="H123" s="67" t="s">
        <v>78</v>
      </c>
      <c r="I123" s="343">
        <f>ROUNDUP((57046.87/61),2)</f>
        <v>935.2</v>
      </c>
      <c r="J123" s="67" t="s">
        <v>41</v>
      </c>
      <c r="K123" s="343">
        <f>ROUND((G123*I123),2)</f>
        <v>57047.199999999997</v>
      </c>
      <c r="L123" s="67" t="s">
        <v>37</v>
      </c>
      <c r="M123" s="67"/>
      <c r="N123" s="67"/>
      <c r="O123" s="67"/>
      <c r="P123" s="67"/>
      <c r="Q123" s="67"/>
      <c r="R123" s="65"/>
      <c r="S123" s="65"/>
      <c r="T123" s="381"/>
      <c r="U123" s="381"/>
      <c r="V123" s="381"/>
    </row>
    <row r="124" spans="1:24" ht="21" customHeight="1" outlineLevel="1" x14ac:dyDescent="0.25">
      <c r="A124" s="389"/>
      <c r="B124" s="429"/>
      <c r="C124" s="64"/>
      <c r="D124" s="379"/>
      <c r="E124" s="379"/>
      <c r="F124" s="68" t="str">
        <f>F14</f>
        <v>норматив на 2024 год :</v>
      </c>
      <c r="G124" s="343">
        <v>61</v>
      </c>
      <c r="H124" s="65" t="s">
        <v>294</v>
      </c>
      <c r="I124" s="278">
        <f>I123*1.0822*1.0487</f>
        <v>1061.3614165280001</v>
      </c>
      <c r="J124" s="67" t="s">
        <v>41</v>
      </c>
      <c r="K124" s="343">
        <f>ROUND((G124*I124),2)</f>
        <v>64743.05</v>
      </c>
      <c r="L124" s="67" t="s">
        <v>41</v>
      </c>
      <c r="M124" s="70">
        <f t="shared" ref="M124:M126" si="47">ROUNDUP((K124),0)</f>
        <v>64744</v>
      </c>
      <c r="N124" s="71" t="s">
        <v>37</v>
      </c>
      <c r="O124" s="70">
        <f t="shared" si="44"/>
        <v>64750</v>
      </c>
      <c r="P124" s="67" t="s">
        <v>332</v>
      </c>
      <c r="Q124" s="72"/>
      <c r="R124" s="72"/>
      <c r="S124" s="65"/>
      <c r="T124" s="381"/>
      <c r="U124" s="381"/>
      <c r="V124" s="381"/>
      <c r="W124" s="338" t="str">
        <f>""&amp;TEXT(G124,"0,0")&amp;" шт. х "&amp;TEXT(ROUND((K124/G124),2),"0,00")&amp;" руб. = "&amp;TEXT(ROUND((G124*(ROUND((K124/G124),2))),2),"0 000,00")&amp;" руб. = "&amp;TEXT(O124,"0 000,00")&amp;" руб."</f>
        <v>61,0 шт. х 1061,36 руб. = 64 742,96 руб. = 64 750,00 руб.</v>
      </c>
    </row>
    <row r="125" spans="1:24" ht="21" customHeight="1" outlineLevel="1" x14ac:dyDescent="0.25">
      <c r="A125" s="389"/>
      <c r="B125" s="429"/>
      <c r="C125" s="64"/>
      <c r="D125" s="379"/>
      <c r="E125" s="379"/>
      <c r="F125" s="68" t="str">
        <f>F15</f>
        <v>норматив на 2025 год :</v>
      </c>
      <c r="G125" s="343">
        <v>61</v>
      </c>
      <c r="H125" s="67" t="str">
        <f>H124</f>
        <v>шт. х средняя цена с индексом потребительских цен</v>
      </c>
      <c r="I125" s="278">
        <f>I124*1.0457</f>
        <v>1109.8656332633298</v>
      </c>
      <c r="J125" s="67" t="s">
        <v>41</v>
      </c>
      <c r="K125" s="343">
        <f t="shared" ref="K125:K126" si="48">ROUND((G125*I125),2)</f>
        <v>67701.8</v>
      </c>
      <c r="L125" s="67" t="s">
        <v>41</v>
      </c>
      <c r="M125" s="70">
        <f t="shared" si="47"/>
        <v>67702</v>
      </c>
      <c r="N125" s="71" t="s">
        <v>37</v>
      </c>
      <c r="O125" s="70">
        <f t="shared" si="44"/>
        <v>67710</v>
      </c>
      <c r="P125" s="67" t="s">
        <v>332</v>
      </c>
      <c r="Q125" s="72"/>
      <c r="R125" s="72"/>
      <c r="S125" s="65"/>
      <c r="T125" s="381"/>
      <c r="U125" s="381"/>
      <c r="V125" s="381"/>
      <c r="W125" s="338" t="str">
        <f t="shared" ref="W125:W126" si="49">""&amp;TEXT(G125,"0,0")&amp;" шт. х "&amp;TEXT(ROUND((K125/G125),2),"0,00")&amp;" руб. = "&amp;TEXT(ROUND((G125*(ROUND((K125/G125),2))),2),"0 000,00")&amp;" руб. = "&amp;TEXT(O125,"0 000,00")&amp;" руб."</f>
        <v>61,0 шт. х 1109,87 руб. = 67 702,07 руб. = 67 710,00 руб.</v>
      </c>
    </row>
    <row r="126" spans="1:24" ht="21" customHeight="1" outlineLevel="1" x14ac:dyDescent="0.25">
      <c r="A126" s="390"/>
      <c r="B126" s="430"/>
      <c r="C126" s="64"/>
      <c r="D126" s="379"/>
      <c r="E126" s="379"/>
      <c r="F126" s="68" t="str">
        <f>F16</f>
        <v>норматив на 2026 год :</v>
      </c>
      <c r="G126" s="343">
        <v>61</v>
      </c>
      <c r="H126" s="67" t="str">
        <f>H124</f>
        <v>шт. х средняя цена с индексом потребительских цен</v>
      </c>
      <c r="I126" s="278">
        <f>I125*1.0457</f>
        <v>1160.586492703464</v>
      </c>
      <c r="J126" s="67" t="s">
        <v>41</v>
      </c>
      <c r="K126" s="343">
        <f t="shared" si="48"/>
        <v>70795.78</v>
      </c>
      <c r="L126" s="67" t="s">
        <v>41</v>
      </c>
      <c r="M126" s="70">
        <f t="shared" si="47"/>
        <v>70796</v>
      </c>
      <c r="N126" s="71" t="s">
        <v>37</v>
      </c>
      <c r="O126" s="70">
        <f t="shared" si="44"/>
        <v>70800</v>
      </c>
      <c r="P126" s="67" t="s">
        <v>332</v>
      </c>
      <c r="Q126" s="72"/>
      <c r="R126" s="72"/>
      <c r="S126" s="65"/>
      <c r="T126" s="381"/>
      <c r="U126" s="381"/>
      <c r="V126" s="381"/>
      <c r="W126" s="338" t="str">
        <f t="shared" si="49"/>
        <v>61,0 шт. х 1160,59 руб. = 70 795,99 руб. = 70 800,00 руб.</v>
      </c>
    </row>
    <row r="127" spans="1:24" ht="75" x14ac:dyDescent="0.25">
      <c r="A127" s="426" t="s">
        <v>298</v>
      </c>
      <c r="B127" s="391" t="s">
        <v>351</v>
      </c>
      <c r="C127" s="64"/>
      <c r="D127" s="378">
        <v>310</v>
      </c>
      <c r="E127" s="378">
        <v>244</v>
      </c>
      <c r="F127" s="380" t="s">
        <v>249</v>
      </c>
      <c r="G127" s="380"/>
      <c r="H127" s="380"/>
      <c r="I127" s="380"/>
      <c r="J127" s="380"/>
      <c r="K127" s="380"/>
      <c r="L127" s="380"/>
      <c r="M127" s="380"/>
      <c r="N127" s="380"/>
      <c r="O127" s="380"/>
      <c r="P127" s="380"/>
      <c r="Q127" s="380"/>
      <c r="R127" s="380"/>
      <c r="S127" s="65"/>
      <c r="T127" s="381">
        <f>O129</f>
        <v>854440</v>
      </c>
      <c r="U127" s="381">
        <f>O130</f>
        <v>893490</v>
      </c>
      <c r="V127" s="381">
        <f>O131</f>
        <v>934320</v>
      </c>
      <c r="W127" s="338" t="s">
        <v>170</v>
      </c>
    </row>
    <row r="128" spans="1:24" ht="21.75" customHeight="1" outlineLevel="1" x14ac:dyDescent="0.25">
      <c r="A128" s="427"/>
      <c r="B128" s="429"/>
      <c r="C128" s="64"/>
      <c r="D128" s="379"/>
      <c r="E128" s="379"/>
      <c r="F128" s="68">
        <v>2022</v>
      </c>
      <c r="G128" s="278">
        <v>1</v>
      </c>
      <c r="H128" s="67" t="s">
        <v>259</v>
      </c>
      <c r="I128" s="278">
        <v>752874.28</v>
      </c>
      <c r="J128" s="67" t="s">
        <v>41</v>
      </c>
      <c r="K128" s="343">
        <f>ROUND((G128*I128),2)</f>
        <v>752874.28</v>
      </c>
      <c r="L128" s="67" t="s">
        <v>37</v>
      </c>
      <c r="M128" s="70">
        <f>ROUNDUP((K128),0)</f>
        <v>752875</v>
      </c>
      <c r="N128" s="71" t="s">
        <v>37</v>
      </c>
      <c r="O128" s="70">
        <f t="shared" si="44"/>
        <v>752880</v>
      </c>
      <c r="P128" s="67" t="s">
        <v>332</v>
      </c>
      <c r="Q128" s="67"/>
      <c r="R128" s="65"/>
      <c r="S128" s="65"/>
      <c r="T128" s="381"/>
      <c r="U128" s="381"/>
      <c r="V128" s="381"/>
    </row>
    <row r="129" spans="1:23" ht="23.25" customHeight="1" x14ac:dyDescent="0.25">
      <c r="A129" s="427"/>
      <c r="B129" s="429"/>
      <c r="C129" s="64"/>
      <c r="D129" s="379"/>
      <c r="E129" s="379"/>
      <c r="F129" s="68" t="str">
        <f>F14</f>
        <v>норматив на 2024 год :</v>
      </c>
      <c r="G129" s="278">
        <v>1</v>
      </c>
      <c r="H129" s="67" t="s">
        <v>259</v>
      </c>
      <c r="I129" s="277">
        <f>I128*1.0822*1.0487</f>
        <v>854439.38439723931</v>
      </c>
      <c r="J129" s="67" t="s">
        <v>41</v>
      </c>
      <c r="K129" s="343">
        <f>ROUND((G129*I129),2)</f>
        <v>854439.38</v>
      </c>
      <c r="L129" s="67" t="s">
        <v>41</v>
      </c>
      <c r="M129" s="70">
        <f t="shared" ref="M129:M131" si="50">ROUNDUP((K129),0)</f>
        <v>854440</v>
      </c>
      <c r="N129" s="71" t="s">
        <v>37</v>
      </c>
      <c r="O129" s="70">
        <f t="shared" si="44"/>
        <v>854440</v>
      </c>
      <c r="P129" s="67" t="s">
        <v>332</v>
      </c>
      <c r="Q129" s="67"/>
      <c r="R129" s="65"/>
      <c r="S129" s="65"/>
      <c r="T129" s="381"/>
      <c r="U129" s="381"/>
      <c r="V129" s="381"/>
      <c r="W129" s="338" t="str">
        <f>""&amp;TEXT($G$129,"0,0")&amp;" у.е. х "&amp;TEXT(ROUND((K129/$G$129),2),"000,00")&amp;" руб. = "&amp;TEXT(ROUND(($G$129*(ROUND((K129/$G$129),2))),2),"0 000,00")&amp;" руб. = "&amp;TEXT(M129,"0 000,00")&amp;" руб.= "&amp;TEXT(O129,"0 000,00")&amp;" руб."</f>
        <v>1,0 у.е. х 854439,38 руб. = 854 439,38 руб. = 854 440,00 руб.= 854 440,00 руб.</v>
      </c>
    </row>
    <row r="130" spans="1:23" ht="18" customHeight="1" outlineLevel="1" x14ac:dyDescent="0.25">
      <c r="A130" s="427"/>
      <c r="B130" s="429"/>
      <c r="C130" s="64"/>
      <c r="D130" s="379"/>
      <c r="E130" s="379"/>
      <c r="F130" s="68" t="str">
        <f>F15</f>
        <v>норматив на 2025 год :</v>
      </c>
      <c r="G130" s="278">
        <v>1</v>
      </c>
      <c r="H130" s="67" t="s">
        <v>259</v>
      </c>
      <c r="I130" s="277">
        <f>I129*1.0457</f>
        <v>893487.26426419325</v>
      </c>
      <c r="J130" s="67" t="s">
        <v>41</v>
      </c>
      <c r="K130" s="343">
        <f t="shared" ref="K130:K131" si="51">ROUND((G130*I130),2)</f>
        <v>893487.26</v>
      </c>
      <c r="L130" s="67" t="s">
        <v>41</v>
      </c>
      <c r="M130" s="70">
        <f t="shared" si="50"/>
        <v>893488</v>
      </c>
      <c r="N130" s="71" t="s">
        <v>37</v>
      </c>
      <c r="O130" s="70">
        <f t="shared" si="44"/>
        <v>893490</v>
      </c>
      <c r="P130" s="67" t="s">
        <v>332</v>
      </c>
      <c r="Q130" s="93"/>
      <c r="R130" s="67"/>
      <c r="S130" s="65"/>
      <c r="T130" s="381"/>
      <c r="U130" s="381"/>
      <c r="V130" s="381"/>
      <c r="W130" s="338" t="str">
        <f>""&amp;TEXT($G$129,"0,0")&amp;" у.е. х "&amp;TEXT(ROUND((K130/$G$129),2),"000,00")&amp;" руб. = "&amp;TEXT(ROUND(($G$129*(ROUND((K130/$G$129),2))),2),"0 000,00")&amp;" руб. = "&amp;TEXT(M130,"0 000,00")&amp;" руб.= "&amp;TEXT(O130,"0 000,00")&amp;" руб."</f>
        <v>1,0 у.е. х 893487,26 руб. = 893 487,26 руб. = 893 488,00 руб.= 893 490,00 руб.</v>
      </c>
    </row>
    <row r="131" spans="1:23" ht="19.5" customHeight="1" outlineLevel="1" x14ac:dyDescent="0.25">
      <c r="A131" s="428"/>
      <c r="B131" s="430"/>
      <c r="C131" s="64"/>
      <c r="D131" s="379"/>
      <c r="E131" s="379"/>
      <c r="F131" s="68" t="str">
        <f>F16</f>
        <v>норматив на 2026 год :</v>
      </c>
      <c r="G131" s="278">
        <v>1</v>
      </c>
      <c r="H131" s="67" t="s">
        <v>259</v>
      </c>
      <c r="I131" s="277">
        <f>I130*1.0457</f>
        <v>934319.63224106689</v>
      </c>
      <c r="J131" s="67" t="s">
        <v>41</v>
      </c>
      <c r="K131" s="343">
        <f t="shared" si="51"/>
        <v>934319.63</v>
      </c>
      <c r="L131" s="67" t="s">
        <v>41</v>
      </c>
      <c r="M131" s="70">
        <f t="shared" si="50"/>
        <v>934320</v>
      </c>
      <c r="N131" s="71" t="s">
        <v>37</v>
      </c>
      <c r="O131" s="70">
        <f t="shared" si="44"/>
        <v>934320</v>
      </c>
      <c r="P131" s="67" t="s">
        <v>332</v>
      </c>
      <c r="Q131" s="99"/>
      <c r="R131" s="71"/>
      <c r="S131" s="65"/>
      <c r="T131" s="381"/>
      <c r="U131" s="381"/>
      <c r="V131" s="381"/>
      <c r="W131" s="338" t="str">
        <f>""&amp;TEXT($G$129,"0,0")&amp;" у.е. х "&amp;TEXT(ROUND((K131/$G$129),2),"000,00")&amp;" руб. = "&amp;TEXT(ROUND(($G$129*(ROUND((K131/$G$129),2))),2),"0 000,00")&amp;" руб. = "&amp;TEXT(M131,"0 000,00")&amp;" руб.= "&amp;TEXT(O131,"0 000,00")&amp;" руб."</f>
        <v>1,0 у.е. х 934319,63 руб. = 934 319,63 руб. = 934 320,00 руб.= 934 320,00 руб.</v>
      </c>
    </row>
    <row r="132" spans="1:23" ht="153.75" customHeight="1" x14ac:dyDescent="0.25">
      <c r="A132" s="282" t="s">
        <v>16</v>
      </c>
      <c r="B132" s="337" t="s">
        <v>97</v>
      </c>
      <c r="C132" s="52"/>
      <c r="D132" s="342" t="s">
        <v>35</v>
      </c>
      <c r="E132" s="342" t="s">
        <v>35</v>
      </c>
      <c r="F132" s="423"/>
      <c r="G132" s="424"/>
      <c r="H132" s="424"/>
      <c r="I132" s="424"/>
      <c r="J132" s="424"/>
      <c r="K132" s="424"/>
      <c r="L132" s="424"/>
      <c r="M132" s="424"/>
      <c r="N132" s="424"/>
      <c r="O132" s="424"/>
      <c r="P132" s="424"/>
      <c r="Q132" s="424"/>
      <c r="R132" s="424"/>
      <c r="S132" s="424"/>
      <c r="T132" s="255">
        <f>T133+T138+T142+T147+T152+T157+T162+T167+T172+T177+T182</f>
        <v>5833274</v>
      </c>
      <c r="U132" s="255">
        <f>U133+U138+U142+U147+U152+U157+U162+U167+U172+U177+U182</f>
        <v>6083000</v>
      </c>
      <c r="V132" s="255">
        <f>V133+V138+V142+V147+V152+V157+V162+V167+V172+V177+V182</f>
        <v>6336219</v>
      </c>
      <c r="W132" s="338" t="str">
        <f>"Нормативные "&amp;TEXT(B132,"0")&amp;" включают в себя:
нормативные "&amp;TEXT(B133,"0")&amp;"; нормативные "&amp;TEXT(B138,"0")&amp;"; нормативные "&amp;TEXT(B142,"0")&amp;"; нормативные "&amp;TEXT(B138,"0")&amp;"; нормативные "&amp;TEXT(B147,"0")&amp;"; нормативные "&amp;TEXT(B152,"0")&amp;"; нормативные "&amp;TEXT(B157,"0")&amp;"; нормативные "&amp;TEXT(B162,"0")&amp;"; 
нормативные "&amp;TEXT(B167,"0")&amp;"; нормативные "&amp;TEXT(B172,"0")&amp;"; нормативные "&amp;TEXT(B177,"0")&amp;";
нормативные "&amp;TEXT(B182,"0")&amp;""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 бланочной продукции; нормативные затраты на приобретение  канцелярских принадлежностей; нормативные затраты на приобретение горюче-смазочных материалов; нормативные затраты на приобретение  канцелярских принадлежностей; нормативные затраты на приобретение противогазов; нормативные затраты на приобретение комплектов индивидуальной медицинской гражданской защиты; нормативные затраты на приобретение аптечки первой помощи; нормативные затраты на приобретение  пакетов перевязочных индивидуальных; 
нормативные затраты на приобретение индивидуальных противохимических пакетов; нормативные затраты на приобретение запасных частей для мебели; нормативные затраты на приобретение масок медицинских одноразовых;
нормативные затраты на приобретение шин для автомобиля</v>
      </c>
    </row>
    <row r="133" spans="1:23" ht="98.25" customHeight="1" x14ac:dyDescent="0.25">
      <c r="A133" s="383" t="s">
        <v>17</v>
      </c>
      <c r="B133" s="376" t="s">
        <v>353</v>
      </c>
      <c r="C133" s="64"/>
      <c r="D133" s="378">
        <v>346</v>
      </c>
      <c r="E133" s="378">
        <v>244</v>
      </c>
      <c r="F133" s="380" t="s">
        <v>249</v>
      </c>
      <c r="G133" s="380"/>
      <c r="H133" s="380"/>
      <c r="I133" s="380"/>
      <c r="J133" s="380"/>
      <c r="K133" s="380"/>
      <c r="L133" s="380"/>
      <c r="M133" s="380"/>
      <c r="N133" s="380"/>
      <c r="O133" s="380"/>
      <c r="P133" s="380"/>
      <c r="Q133" s="380"/>
      <c r="R133" s="380"/>
      <c r="S133" s="65"/>
      <c r="T133" s="381">
        <f>O135</f>
        <v>10000</v>
      </c>
      <c r="U133" s="381">
        <f>O136</f>
        <v>10450</v>
      </c>
      <c r="V133" s="381">
        <f>O137</f>
        <v>10930</v>
      </c>
      <c r="W133" s="338" t="s">
        <v>360</v>
      </c>
    </row>
    <row r="134" spans="1:23" ht="21" customHeight="1" x14ac:dyDescent="0.25">
      <c r="A134" s="383"/>
      <c r="B134" s="376"/>
      <c r="C134" s="64"/>
      <c r="D134" s="378"/>
      <c r="E134" s="378"/>
      <c r="F134" s="68">
        <v>2022</v>
      </c>
      <c r="G134" s="343">
        <v>20</v>
      </c>
      <c r="H134" s="339"/>
      <c r="I134" s="339">
        <v>440.3</v>
      </c>
      <c r="J134" s="339"/>
      <c r="K134" s="339"/>
      <c r="L134" s="339"/>
      <c r="M134" s="339"/>
      <c r="N134" s="339"/>
      <c r="O134" s="339"/>
      <c r="P134" s="339"/>
      <c r="Q134" s="339"/>
      <c r="R134" s="339"/>
      <c r="S134" s="65"/>
      <c r="T134" s="381"/>
      <c r="U134" s="381"/>
      <c r="V134" s="381"/>
      <c r="W134" s="338"/>
    </row>
    <row r="135" spans="1:23" ht="21.75" customHeight="1" x14ac:dyDescent="0.25">
      <c r="A135" s="383"/>
      <c r="B135" s="377"/>
      <c r="C135" s="64"/>
      <c r="D135" s="379"/>
      <c r="E135" s="379"/>
      <c r="F135" s="68">
        <f>F10</f>
        <v>0</v>
      </c>
      <c r="G135" s="343">
        <f>G134</f>
        <v>20</v>
      </c>
      <c r="H135" s="67" t="s">
        <v>48</v>
      </c>
      <c r="I135" s="277">
        <f>I134*1.0822*1.0487</f>
        <v>499.69785254200002</v>
      </c>
      <c r="J135" s="67" t="s">
        <v>41</v>
      </c>
      <c r="K135" s="343">
        <f>ROUND((G135*I135),2)</f>
        <v>9993.9599999999991</v>
      </c>
      <c r="L135" s="67" t="s">
        <v>41</v>
      </c>
      <c r="M135" s="70">
        <f>ROUNDDOWN((K135),0)</f>
        <v>9993</v>
      </c>
      <c r="N135" s="71" t="s">
        <v>37</v>
      </c>
      <c r="O135" s="70">
        <f t="shared" ref="O135:O137" si="52">ROUNDUP((M135),-1)</f>
        <v>10000</v>
      </c>
      <c r="P135" s="67" t="s">
        <v>332</v>
      </c>
      <c r="Q135" s="67"/>
      <c r="R135" s="65"/>
      <c r="S135" s="65"/>
      <c r="T135" s="381"/>
      <c r="U135" s="381"/>
      <c r="V135" s="381"/>
      <c r="W135" s="338" t="str">
        <f>""&amp;TEXT(G135,"0,0")&amp;" шт.ед. х норматив "&amp;TEXT(I135,"0,00")&amp;" руб. = "&amp;TEXT(K135,"0 000,00")&amp;" руб. = "&amp;TEXT(M135,"0 000,00")&amp;" руб.= "&amp;TEXT(O135,"0 000,00")&amp;" руб."</f>
        <v>20,0 шт.ед. х норматив 499,70 руб. = 9 993,96 руб. = 9 993,00 руб.= 10 000,00 руб.</v>
      </c>
    </row>
    <row r="136" spans="1:23" ht="18.75" customHeight="1" x14ac:dyDescent="0.25">
      <c r="A136" s="383"/>
      <c r="B136" s="377"/>
      <c r="C136" s="64"/>
      <c r="D136" s="379"/>
      <c r="E136" s="379"/>
      <c r="F136" s="68">
        <f>F11</f>
        <v>0</v>
      </c>
      <c r="G136" s="343">
        <f>G134</f>
        <v>20</v>
      </c>
      <c r="H136" s="67" t="s">
        <v>48</v>
      </c>
      <c r="I136" s="277">
        <f>I135*1.0457</f>
        <v>522.53404440316945</v>
      </c>
      <c r="J136" s="67" t="s">
        <v>41</v>
      </c>
      <c r="K136" s="343">
        <f t="shared" ref="K136:K137" si="53">ROUND((G136*I136),2)</f>
        <v>10450.68</v>
      </c>
      <c r="L136" s="67" t="s">
        <v>41</v>
      </c>
      <c r="M136" s="70">
        <f t="shared" ref="M136:M137" si="54">ROUNDDOWN((K136),0)</f>
        <v>10450</v>
      </c>
      <c r="N136" s="71" t="s">
        <v>37</v>
      </c>
      <c r="O136" s="70">
        <f t="shared" si="52"/>
        <v>10450</v>
      </c>
      <c r="P136" s="67" t="s">
        <v>332</v>
      </c>
      <c r="Q136" s="67"/>
      <c r="R136" s="65"/>
      <c r="S136" s="65"/>
      <c r="T136" s="381"/>
      <c r="U136" s="381"/>
      <c r="V136" s="381"/>
      <c r="W136" s="338" t="str">
        <f>""&amp;TEXT(G136,"0,0")&amp;" шт.ед. х норматив "&amp;TEXT(I136,"0,00")&amp;" руб. = "&amp;TEXT(K136,"0 000,00")&amp;" руб. = "&amp;TEXT(M136,"0 000,00")&amp;" руб.= "&amp;TEXT(O136,"0 000,00")&amp;" руб."</f>
        <v>20,0 шт.ед. х норматив 522,53 руб. = 10 450,68 руб. = 10 450,00 руб.= 10 450,00 руб.</v>
      </c>
    </row>
    <row r="137" spans="1:23" ht="18.75" customHeight="1" x14ac:dyDescent="0.25">
      <c r="A137" s="383"/>
      <c r="B137" s="377"/>
      <c r="C137" s="64"/>
      <c r="D137" s="379"/>
      <c r="E137" s="379"/>
      <c r="F137" s="68">
        <f>F12</f>
        <v>0</v>
      </c>
      <c r="G137" s="343">
        <f>G134</f>
        <v>20</v>
      </c>
      <c r="H137" s="67" t="s">
        <v>48</v>
      </c>
      <c r="I137" s="277">
        <f>I136*1.0457</f>
        <v>546.41385023239434</v>
      </c>
      <c r="J137" s="67" t="s">
        <v>41</v>
      </c>
      <c r="K137" s="343">
        <f t="shared" si="53"/>
        <v>10928.28</v>
      </c>
      <c r="L137" s="67" t="s">
        <v>41</v>
      </c>
      <c r="M137" s="70">
        <f t="shared" si="54"/>
        <v>10928</v>
      </c>
      <c r="N137" s="71" t="s">
        <v>37</v>
      </c>
      <c r="O137" s="70">
        <f t="shared" si="52"/>
        <v>10930</v>
      </c>
      <c r="P137" s="67" t="s">
        <v>332</v>
      </c>
      <c r="Q137" s="67"/>
      <c r="R137" s="65"/>
      <c r="S137" s="65"/>
      <c r="T137" s="381"/>
      <c r="U137" s="381"/>
      <c r="V137" s="381"/>
      <c r="W137" s="338" t="str">
        <f>""&amp;TEXT(G137,"0,0")&amp;" шт.ед. х норматив "&amp;TEXT(I137,"0,00")&amp;" руб. = "&amp;TEXT(K137,"0 000,00")&amp;" руб. = "&amp;TEXT(M137,"0 000,00")&amp;" руб.= "&amp;TEXT(O137,"0 000,00")&amp;" руб."</f>
        <v>20,0 шт.ед. х норматив 546,41 руб. = 10 928,28 руб. = 10 928,00 руб.= 10 930,00 руб.</v>
      </c>
    </row>
    <row r="138" spans="1:23" ht="85.5" customHeight="1" x14ac:dyDescent="0.25">
      <c r="A138" s="468" t="s">
        <v>18</v>
      </c>
      <c r="B138" s="376" t="s">
        <v>352</v>
      </c>
      <c r="C138" s="64"/>
      <c r="D138" s="378">
        <v>346</v>
      </c>
      <c r="E138" s="378">
        <v>244</v>
      </c>
      <c r="F138" s="458" t="s">
        <v>262</v>
      </c>
      <c r="G138" s="458"/>
      <c r="H138" s="458"/>
      <c r="I138" s="458"/>
      <c r="J138" s="458"/>
      <c r="K138" s="458"/>
      <c r="L138" s="458"/>
      <c r="M138" s="458"/>
      <c r="N138" s="458"/>
      <c r="O138" s="458"/>
      <c r="P138" s="458"/>
      <c r="Q138" s="458"/>
      <c r="R138" s="458"/>
      <c r="S138" s="65"/>
      <c r="T138" s="381">
        <f>O139</f>
        <v>4081300</v>
      </c>
      <c r="U138" s="381">
        <f>O140</f>
        <v>4251080</v>
      </c>
      <c r="V138" s="381">
        <f>O141</f>
        <v>4420700</v>
      </c>
      <c r="W138" s="338" t="s">
        <v>264</v>
      </c>
    </row>
    <row r="139" spans="1:23" ht="21.75" customHeight="1" x14ac:dyDescent="0.25">
      <c r="A139" s="468"/>
      <c r="B139" s="377"/>
      <c r="C139" s="64"/>
      <c r="D139" s="379"/>
      <c r="E139" s="379"/>
      <c r="F139" s="68" t="str">
        <f>F14</f>
        <v>норматив на 2024 год :</v>
      </c>
      <c r="G139" s="343">
        <v>213</v>
      </c>
      <c r="H139" s="67" t="s">
        <v>48</v>
      </c>
      <c r="I139" s="165">
        <v>19161</v>
      </c>
      <c r="J139" s="67" t="s">
        <v>41</v>
      </c>
      <c r="K139" s="343">
        <f>ROUND((G139*I139),2)</f>
        <v>4081293</v>
      </c>
      <c r="L139" s="67" t="s">
        <v>41</v>
      </c>
      <c r="M139" s="70">
        <f>ROUNDDOWN((K139),0)</f>
        <v>4081293</v>
      </c>
      <c r="N139" s="71" t="s">
        <v>37</v>
      </c>
      <c r="O139" s="70">
        <f t="shared" ref="O139:O141" si="55">ROUNDUP((M139),-1)</f>
        <v>4081300</v>
      </c>
      <c r="P139" s="67" t="s">
        <v>332</v>
      </c>
      <c r="Q139" s="67"/>
      <c r="R139" s="65"/>
      <c r="S139" s="65"/>
      <c r="T139" s="381"/>
      <c r="U139" s="381"/>
      <c r="V139" s="381"/>
      <c r="W139" s="338" t="str">
        <f>""&amp;TEXT(G139,"000,00")&amp;" шт.ед. х норматив "&amp;TEXT(I139,"0 000,00")&amp;" руб. = "&amp;TEXT(K139,"0 000,00")&amp;" руб. = "&amp;TEXT(M139,"0 000,00")&amp;" руб.= "&amp;TEXT(O139,"0 000,00")&amp;" руб."</f>
        <v>213,00 шт.ед. х норматив 19 161,00 руб. = 4 081 293,00 руб. = 4 081 293,00 руб.= 4 081 300,00 руб.</v>
      </c>
    </row>
    <row r="140" spans="1:23" ht="18.75" customHeight="1" x14ac:dyDescent="0.25">
      <c r="A140" s="468"/>
      <c r="B140" s="377"/>
      <c r="C140" s="64"/>
      <c r="D140" s="379"/>
      <c r="E140" s="379"/>
      <c r="F140" s="68" t="str">
        <f>F15</f>
        <v>норматив на 2025 год :</v>
      </c>
      <c r="G140" s="343">
        <v>213</v>
      </c>
      <c r="H140" s="67" t="s">
        <v>48</v>
      </c>
      <c r="I140" s="165">
        <v>19958.099999999999</v>
      </c>
      <c r="J140" s="67" t="s">
        <v>41</v>
      </c>
      <c r="K140" s="343">
        <f t="shared" ref="K140:K141" si="56">ROUND((G140*I140),2)</f>
        <v>4251075.3</v>
      </c>
      <c r="L140" s="67" t="s">
        <v>41</v>
      </c>
      <c r="M140" s="70">
        <f t="shared" ref="M140:M141" si="57">ROUNDDOWN((K140),0)</f>
        <v>4251075</v>
      </c>
      <c r="N140" s="71" t="s">
        <v>37</v>
      </c>
      <c r="O140" s="70">
        <f t="shared" si="55"/>
        <v>4251080</v>
      </c>
      <c r="P140" s="67" t="s">
        <v>332</v>
      </c>
      <c r="Q140" s="67"/>
      <c r="R140" s="65"/>
      <c r="S140" s="65"/>
      <c r="T140" s="381"/>
      <c r="U140" s="381"/>
      <c r="V140" s="381"/>
      <c r="W140" s="338" t="str">
        <f>""&amp;TEXT(G140,"000,00")&amp;" шт.ед. х норматив "&amp;TEXT(I140,"0 000,00")&amp;" руб. = "&amp;TEXT(K140,"0 000,00")&amp;" руб. = "&amp;TEXT(M140,"0 000,00")&amp;" руб.= "&amp;TEXT(O140,"0 000,00")&amp;" руб."</f>
        <v>213,00 шт.ед. х норматив 19 958,10 руб. = 4 251 075,30 руб. = 4 251 075,00 руб.= 4 251 080,00 руб.</v>
      </c>
    </row>
    <row r="141" spans="1:23" ht="18.75" customHeight="1" x14ac:dyDescent="0.25">
      <c r="A141" s="468"/>
      <c r="B141" s="377"/>
      <c r="C141" s="64"/>
      <c r="D141" s="379"/>
      <c r="E141" s="379"/>
      <c r="F141" s="68" t="str">
        <f>F16</f>
        <v>норматив на 2026 год :</v>
      </c>
      <c r="G141" s="343">
        <v>213</v>
      </c>
      <c r="H141" s="67" t="s">
        <v>48</v>
      </c>
      <c r="I141" s="165">
        <v>20754.43</v>
      </c>
      <c r="J141" s="67" t="s">
        <v>41</v>
      </c>
      <c r="K141" s="343">
        <f t="shared" si="56"/>
        <v>4420693.59</v>
      </c>
      <c r="L141" s="67" t="s">
        <v>41</v>
      </c>
      <c r="M141" s="70">
        <f t="shared" si="57"/>
        <v>4420693</v>
      </c>
      <c r="N141" s="71" t="s">
        <v>37</v>
      </c>
      <c r="O141" s="70">
        <f t="shared" si="55"/>
        <v>4420700</v>
      </c>
      <c r="P141" s="67" t="s">
        <v>332</v>
      </c>
      <c r="Q141" s="67"/>
      <c r="R141" s="65"/>
      <c r="S141" s="65"/>
      <c r="T141" s="381"/>
      <c r="U141" s="381"/>
      <c r="V141" s="381"/>
      <c r="W141" s="338" t="str">
        <f>""&amp;TEXT(G141,"000,00")&amp;" шт.ед. х норматив "&amp;TEXT(I141,"0 000,00")&amp;" руб. = "&amp;TEXT(K141,"0 000,00")&amp;" руб. = "&amp;TEXT(M141,"0 000,00")&amp;" руб.= "&amp;TEXT(O141,"0 000,00")&amp;" руб."</f>
        <v>213,00 шт.ед. х норматив 20 754,43 руб. = 4 420 693,59 руб. = 4 420 693,00 руб.= 4 420 700,00 руб.</v>
      </c>
    </row>
    <row r="142" spans="1:23" s="239" customFormat="1" ht="117.75" customHeight="1" x14ac:dyDescent="0.25">
      <c r="A142" s="383" t="s">
        <v>26</v>
      </c>
      <c r="B142" s="475" t="s">
        <v>100</v>
      </c>
      <c r="C142" s="64"/>
      <c r="D142" s="394">
        <v>343</v>
      </c>
      <c r="E142" s="394">
        <v>244</v>
      </c>
      <c r="F142" s="380" t="s">
        <v>390</v>
      </c>
      <c r="G142" s="380"/>
      <c r="H142" s="380"/>
      <c r="I142" s="380"/>
      <c r="J142" s="380"/>
      <c r="K142" s="380"/>
      <c r="L142" s="380"/>
      <c r="M142" s="380"/>
      <c r="N142" s="380"/>
      <c r="O142" s="380"/>
      <c r="P142" s="380"/>
      <c r="Q142" s="380"/>
      <c r="R142" s="380"/>
      <c r="S142" s="420">
        <f>M144</f>
        <v>41786</v>
      </c>
      <c r="T142" s="385">
        <f>O144</f>
        <v>41790</v>
      </c>
      <c r="U142" s="385">
        <f>O145</f>
        <v>43530</v>
      </c>
      <c r="V142" s="385">
        <f>O146</f>
        <v>45270</v>
      </c>
      <c r="W142" s="338" t="s">
        <v>302</v>
      </c>
    </row>
    <row r="143" spans="1:23" s="239" customFormat="1" ht="19.5" customHeight="1" x14ac:dyDescent="0.25">
      <c r="A143" s="383"/>
      <c r="B143" s="476"/>
      <c r="C143" s="64"/>
      <c r="D143" s="395"/>
      <c r="E143" s="395"/>
      <c r="F143" s="61"/>
      <c r="G143" s="343">
        <v>700</v>
      </c>
      <c r="H143" s="67" t="s">
        <v>303</v>
      </c>
      <c r="I143" s="343"/>
      <c r="J143" s="67" t="s">
        <v>41</v>
      </c>
      <c r="K143" s="343">
        <f>ROUND((G143*I143),2)</f>
        <v>0</v>
      </c>
      <c r="L143" s="67" t="s">
        <v>37</v>
      </c>
      <c r="M143" s="67"/>
      <c r="N143" s="67"/>
      <c r="O143" s="70">
        <f t="shared" ref="O143:O146" si="58">ROUNDUP((M143),-1)</f>
        <v>0</v>
      </c>
      <c r="P143" s="67"/>
      <c r="Q143" s="67"/>
      <c r="R143" s="65"/>
      <c r="S143" s="421"/>
      <c r="T143" s="386"/>
      <c r="U143" s="386"/>
      <c r="V143" s="386"/>
      <c r="W143" s="338"/>
    </row>
    <row r="144" spans="1:23" s="239" customFormat="1" ht="19.5" customHeight="1" x14ac:dyDescent="0.25">
      <c r="A144" s="383"/>
      <c r="B144" s="476"/>
      <c r="C144" s="64"/>
      <c r="D144" s="395"/>
      <c r="E144" s="395"/>
      <c r="F144" s="68" t="str">
        <f>F14</f>
        <v>норматив на 2024 год :</v>
      </c>
      <c r="G144" s="343">
        <f>G143</f>
        <v>700</v>
      </c>
      <c r="H144" s="65" t="s">
        <v>304</v>
      </c>
      <c r="I144" s="277">
        <f>56.88*1.0495</f>
        <v>59.695560000000008</v>
      </c>
      <c r="J144" s="67" t="s">
        <v>41</v>
      </c>
      <c r="K144" s="343">
        <f>ROUND((G144*I144),2)</f>
        <v>41786.89</v>
      </c>
      <c r="L144" s="67" t="s">
        <v>41</v>
      </c>
      <c r="M144" s="70">
        <f>ROUNDDOWN((K144),0)</f>
        <v>41786</v>
      </c>
      <c r="N144" s="71" t="s">
        <v>37</v>
      </c>
      <c r="O144" s="70">
        <f t="shared" si="58"/>
        <v>41790</v>
      </c>
      <c r="P144" s="67" t="s">
        <v>332</v>
      </c>
      <c r="Q144" s="72"/>
      <c r="R144" s="72"/>
      <c r="S144" s="421"/>
      <c r="T144" s="386"/>
      <c r="U144" s="386"/>
      <c r="V144" s="386"/>
      <c r="W144" s="338" t="str">
        <f>""&amp;TEXT(G144,"0,0")&amp;" л. х "&amp;TEXT(ROUND((K144/G144),2),"0,00")&amp;" руб. = "&amp;TEXT(ROUND((G144*(ROUND((K144/G144),2))),2),"0 000,00")&amp;" руб. = "&amp;TEXT(O144,"0 000,00")&amp;" руб."</f>
        <v>700,0 л. х 59,70 руб. = 41 790,00 руб. = 41 790,00 руб.</v>
      </c>
    </row>
    <row r="145" spans="1:23" s="239" customFormat="1" ht="19.5" customHeight="1" x14ac:dyDescent="0.25">
      <c r="A145" s="383"/>
      <c r="B145" s="476"/>
      <c r="C145" s="64"/>
      <c r="D145" s="395"/>
      <c r="E145" s="395"/>
      <c r="F145" s="68" t="str">
        <f>F15</f>
        <v>норматив на 2025 год :</v>
      </c>
      <c r="G145" s="343">
        <f>G143</f>
        <v>700</v>
      </c>
      <c r="H145" s="67" t="str">
        <f>H144</f>
        <v>л. х средняя цена с индексом потребительских цен =</v>
      </c>
      <c r="I145" s="277">
        <f>ROUNDUP(I144*(1.0416),2)</f>
        <v>62.18</v>
      </c>
      <c r="J145" s="67" t="s">
        <v>41</v>
      </c>
      <c r="K145" s="343">
        <f t="shared" ref="K145:K146" si="59">ROUND((G145*I145),2)</f>
        <v>43526</v>
      </c>
      <c r="L145" s="67" t="s">
        <v>41</v>
      </c>
      <c r="M145" s="70">
        <f t="shared" ref="M145:M146" si="60">ROUNDDOWN((K145),0)</f>
        <v>43526</v>
      </c>
      <c r="N145" s="71" t="s">
        <v>37</v>
      </c>
      <c r="O145" s="70">
        <f t="shared" si="58"/>
        <v>43530</v>
      </c>
      <c r="P145" s="67" t="s">
        <v>332</v>
      </c>
      <c r="Q145" s="72"/>
      <c r="R145" s="72"/>
      <c r="S145" s="421"/>
      <c r="T145" s="386"/>
      <c r="U145" s="386"/>
      <c r="V145" s="386"/>
      <c r="W145" s="338" t="str">
        <f>""&amp;TEXT(G145,"0,0")&amp;" л. х "&amp;TEXT(ROUND((K145/G145),2),"0,00")&amp;" руб. = "&amp;TEXT(ROUND((G145*(ROUND((K145/G145),2))),2),"0 000,00")&amp;" руб. = "&amp;TEXT(O145,"0 000,00")&amp;" руб."</f>
        <v>700,0 л. х 62,18 руб. = 43 526,00 руб. = 43 530,00 руб.</v>
      </c>
    </row>
    <row r="146" spans="1:23" ht="24" customHeight="1" x14ac:dyDescent="0.25">
      <c r="A146" s="383"/>
      <c r="B146" s="476"/>
      <c r="C146" s="64"/>
      <c r="D146" s="396"/>
      <c r="E146" s="396"/>
      <c r="F146" s="68" t="str">
        <f>F16</f>
        <v>норматив на 2026 год :</v>
      </c>
      <c r="G146" s="343">
        <f>G143</f>
        <v>700</v>
      </c>
      <c r="H146" s="67" t="str">
        <f>H144</f>
        <v>л. х средняя цена с индексом потребительских цен =</v>
      </c>
      <c r="I146" s="277">
        <f>ROUNDUP(I145*(1.0399),2)</f>
        <v>64.67</v>
      </c>
      <c r="J146" s="67" t="s">
        <v>41</v>
      </c>
      <c r="K146" s="343">
        <f t="shared" si="59"/>
        <v>45269</v>
      </c>
      <c r="L146" s="67" t="s">
        <v>41</v>
      </c>
      <c r="M146" s="70">
        <f t="shared" si="60"/>
        <v>45269</v>
      </c>
      <c r="N146" s="71" t="s">
        <v>37</v>
      </c>
      <c r="O146" s="70">
        <f t="shared" si="58"/>
        <v>45270</v>
      </c>
      <c r="P146" s="67" t="s">
        <v>332</v>
      </c>
      <c r="Q146" s="72"/>
      <c r="R146" s="72"/>
      <c r="S146" s="422"/>
      <c r="T146" s="387"/>
      <c r="U146" s="387"/>
      <c r="V146" s="387"/>
      <c r="W146" s="338" t="str">
        <f>""&amp;TEXT(G146,"0,0")&amp;" л. х "&amp;TEXT(ROUND((K146/G146),2),"0,00")&amp;" руб. = "&amp;TEXT(ROUND((G146*(ROUND((K146/G146),2))),2),"0 000,00")&amp;" руб. = "&amp;TEXT(O146,"0 000,00")&amp;" руб."</f>
        <v>700,0 л. х 64,67 руб. = 45 269,00 руб. = 45 270,00 руб.</v>
      </c>
    </row>
    <row r="147" spans="1:23" ht="132" customHeight="1" outlineLevel="1" x14ac:dyDescent="0.25">
      <c r="A147" s="383" t="s">
        <v>200</v>
      </c>
      <c r="B147" s="376" t="s">
        <v>305</v>
      </c>
      <c r="C147" s="64"/>
      <c r="D147" s="378">
        <v>345</v>
      </c>
      <c r="E147" s="378">
        <v>244</v>
      </c>
      <c r="F147" s="380" t="s">
        <v>249</v>
      </c>
      <c r="G147" s="380"/>
      <c r="H147" s="380"/>
      <c r="I147" s="380"/>
      <c r="J147" s="380"/>
      <c r="K147" s="380"/>
      <c r="L147" s="380"/>
      <c r="M147" s="380"/>
      <c r="N147" s="380"/>
      <c r="O147" s="380"/>
      <c r="P147" s="380"/>
      <c r="Q147" s="380"/>
      <c r="R147" s="380"/>
      <c r="S147" s="477">
        <f>M149</f>
        <v>881252</v>
      </c>
      <c r="T147" s="381">
        <f>O149</f>
        <v>881260</v>
      </c>
      <c r="U147" s="381">
        <f>O150</f>
        <v>921530</v>
      </c>
      <c r="V147" s="381">
        <f>O151</f>
        <v>963650</v>
      </c>
      <c r="W147" s="338" t="s">
        <v>306</v>
      </c>
    </row>
    <row r="148" spans="1:23" ht="18.75" customHeight="1" x14ac:dyDescent="0.25">
      <c r="A148" s="383"/>
      <c r="B148" s="377"/>
      <c r="C148" s="64"/>
      <c r="D148" s="379"/>
      <c r="E148" s="384"/>
      <c r="F148" s="61">
        <v>2022</v>
      </c>
      <c r="G148" s="343">
        <v>224</v>
      </c>
      <c r="H148" s="67" t="s">
        <v>78</v>
      </c>
      <c r="I148" s="343">
        <v>3466.51</v>
      </c>
      <c r="J148" s="67" t="s">
        <v>41</v>
      </c>
      <c r="K148" s="343">
        <f>ROUND((G148*I148),2)</f>
        <v>776498.24</v>
      </c>
      <c r="L148" s="67" t="s">
        <v>37</v>
      </c>
      <c r="M148" s="67"/>
      <c r="N148" s="67"/>
      <c r="O148" s="70">
        <f t="shared" ref="O148:O151" si="61">ROUNDUP((M148),-1)</f>
        <v>0</v>
      </c>
      <c r="P148" s="67"/>
      <c r="Q148" s="67"/>
      <c r="R148" s="65"/>
      <c r="S148" s="477"/>
      <c r="T148" s="381"/>
      <c r="U148" s="381"/>
      <c r="V148" s="381"/>
      <c r="W148" s="338"/>
    </row>
    <row r="149" spans="1:23" ht="18.75" customHeight="1" x14ac:dyDescent="0.25">
      <c r="A149" s="383"/>
      <c r="B149" s="377"/>
      <c r="C149" s="64"/>
      <c r="D149" s="379"/>
      <c r="E149" s="384"/>
      <c r="F149" s="68" t="str">
        <f>F14</f>
        <v>норматив на 2024 год :</v>
      </c>
      <c r="G149" s="343">
        <v>224</v>
      </c>
      <c r="H149" s="65" t="s">
        <v>294</v>
      </c>
      <c r="I149" s="277">
        <f>ROUNDUP(I148*1.0822*1.0487,2)</f>
        <v>3934.1600000000003</v>
      </c>
      <c r="J149" s="67" t="s">
        <v>41</v>
      </c>
      <c r="K149" s="343">
        <f>G149*I149</f>
        <v>881251.84000000008</v>
      </c>
      <c r="L149" s="67" t="s">
        <v>41</v>
      </c>
      <c r="M149" s="70">
        <f>ROUNDUP((K149),0)</f>
        <v>881252</v>
      </c>
      <c r="N149" s="71" t="s">
        <v>37</v>
      </c>
      <c r="O149" s="70">
        <f t="shared" si="61"/>
        <v>881260</v>
      </c>
      <c r="P149" s="67" t="s">
        <v>332</v>
      </c>
      <c r="Q149" s="72"/>
      <c r="R149" s="72"/>
      <c r="S149" s="477"/>
      <c r="T149" s="381"/>
      <c r="U149" s="381"/>
      <c r="V149" s="381"/>
      <c r="W149" s="338" t="str">
        <f>""&amp;TEXT(G149,"0,0")&amp;" шт. х "&amp;TEXT(ROUND((K149/G149),2),"0,00")&amp;" руб. = "&amp;TEXT(ROUND((G149*(ROUND((K149/G149),2))),2),"0 000,00")&amp;" руб. = "&amp;TEXT(M149,"0 000,00")&amp;" руб.= "&amp;TEXT(O149,"0 000,00")&amp;" руб."</f>
        <v>224,0 шт. х 3934,16 руб. = 881 251,84 руб. = 881 252,00 руб.= 881 260,00 руб.</v>
      </c>
    </row>
    <row r="150" spans="1:23" ht="18.75" customHeight="1" x14ac:dyDescent="0.25">
      <c r="A150" s="383"/>
      <c r="B150" s="377"/>
      <c r="C150" s="64"/>
      <c r="D150" s="379"/>
      <c r="E150" s="384"/>
      <c r="F150" s="68" t="str">
        <f>F15</f>
        <v>норматив на 2025 год :</v>
      </c>
      <c r="G150" s="343">
        <v>224</v>
      </c>
      <c r="H150" s="67" t="str">
        <f>H149</f>
        <v>шт. х средняя цена с индексом потребительских цен</v>
      </c>
      <c r="I150" s="277">
        <f>ROUNDUP(I149*(1.0457),2)</f>
        <v>4113.96</v>
      </c>
      <c r="J150" s="67" t="s">
        <v>41</v>
      </c>
      <c r="K150" s="343">
        <f t="shared" ref="K150:K151" si="62">G150*I150</f>
        <v>921527.04</v>
      </c>
      <c r="L150" s="67" t="s">
        <v>41</v>
      </c>
      <c r="M150" s="70">
        <f t="shared" ref="M150:M151" si="63">ROUNDUP((K150),0)</f>
        <v>921528</v>
      </c>
      <c r="N150" s="71" t="s">
        <v>37</v>
      </c>
      <c r="O150" s="70">
        <f t="shared" si="61"/>
        <v>921530</v>
      </c>
      <c r="P150" s="67" t="s">
        <v>332</v>
      </c>
      <c r="Q150" s="72"/>
      <c r="R150" s="72"/>
      <c r="S150" s="477"/>
      <c r="T150" s="381"/>
      <c r="U150" s="381"/>
      <c r="V150" s="381"/>
      <c r="W150" s="338" t="str">
        <f t="shared" ref="W150:W151" si="64">""&amp;TEXT(G150,"0,0")&amp;" шт. х "&amp;TEXT(ROUND((K150/G150),2),"0,00")&amp;" руб. = "&amp;TEXT(ROUND((G150*(ROUND((K150/G150),2))),2),"0 000,00")&amp;" руб. = "&amp;TEXT(M150,"0 000,00")&amp;" руб.= "&amp;TEXT(O150,"0 000,00")&amp;" руб."</f>
        <v>224,0 шт. х 4113,96 руб. = 921 527,04 руб. = 921 528,00 руб.= 921 530,00 руб.</v>
      </c>
    </row>
    <row r="151" spans="1:23" ht="24.75" customHeight="1" x14ac:dyDescent="0.25">
      <c r="A151" s="383"/>
      <c r="B151" s="377"/>
      <c r="C151" s="64"/>
      <c r="D151" s="379"/>
      <c r="E151" s="384"/>
      <c r="F151" s="68" t="str">
        <f>F16</f>
        <v>норматив на 2026 год :</v>
      </c>
      <c r="G151" s="343">
        <v>224</v>
      </c>
      <c r="H151" s="67" t="str">
        <f>H149</f>
        <v>шт. х средняя цена с индексом потребительских цен</v>
      </c>
      <c r="I151" s="277">
        <f>ROUNDUP(I150*(1.0457),2)</f>
        <v>4301.97</v>
      </c>
      <c r="J151" s="67" t="s">
        <v>41</v>
      </c>
      <c r="K151" s="343">
        <f t="shared" si="62"/>
        <v>963641.28</v>
      </c>
      <c r="L151" s="67" t="s">
        <v>41</v>
      </c>
      <c r="M151" s="70">
        <f t="shared" si="63"/>
        <v>963642</v>
      </c>
      <c r="N151" s="71" t="s">
        <v>37</v>
      </c>
      <c r="O151" s="70">
        <f t="shared" si="61"/>
        <v>963650</v>
      </c>
      <c r="P151" s="67" t="s">
        <v>332</v>
      </c>
      <c r="Q151" s="72"/>
      <c r="R151" s="72"/>
      <c r="S151" s="478"/>
      <c r="T151" s="382"/>
      <c r="U151" s="382"/>
      <c r="V151" s="382"/>
      <c r="W151" s="338" t="str">
        <f t="shared" si="64"/>
        <v>224,0 шт. х 4301,97 руб. = 963 641,28 руб. = 963 642,00 руб.= 963 650,00 руб.</v>
      </c>
    </row>
    <row r="152" spans="1:23" ht="103.5" customHeight="1" outlineLevel="1" x14ac:dyDescent="0.25">
      <c r="A152" s="383" t="s">
        <v>213</v>
      </c>
      <c r="B152" s="376" t="s">
        <v>307</v>
      </c>
      <c r="C152" s="64"/>
      <c r="D152" s="378">
        <v>341</v>
      </c>
      <c r="E152" s="378">
        <v>244</v>
      </c>
      <c r="F152" s="380" t="s">
        <v>249</v>
      </c>
      <c r="G152" s="380"/>
      <c r="H152" s="380"/>
      <c r="I152" s="380"/>
      <c r="J152" s="380"/>
      <c r="K152" s="380"/>
      <c r="L152" s="380"/>
      <c r="M152" s="380"/>
      <c r="N152" s="380"/>
      <c r="O152" s="380"/>
      <c r="P152" s="380"/>
      <c r="Q152" s="380"/>
      <c r="R152" s="380"/>
      <c r="S152" s="65"/>
      <c r="T152" s="385">
        <f>O154</f>
        <v>51710</v>
      </c>
      <c r="U152" s="385">
        <f>O155</f>
        <v>54070</v>
      </c>
      <c r="V152" s="385">
        <f>O156</f>
        <v>56540</v>
      </c>
      <c r="W152" s="338" t="s">
        <v>308</v>
      </c>
    </row>
    <row r="153" spans="1:23" ht="22.5" customHeight="1" x14ac:dyDescent="0.25">
      <c r="A153" s="383"/>
      <c r="B153" s="377"/>
      <c r="C153" s="64"/>
      <c r="D153" s="379"/>
      <c r="E153" s="384"/>
      <c r="F153" s="61">
        <v>2022</v>
      </c>
      <c r="G153" s="343">
        <v>64</v>
      </c>
      <c r="H153" s="67" t="s">
        <v>78</v>
      </c>
      <c r="I153" s="343">
        <f>ROUNDUP((45557.76/64),2)</f>
        <v>711.84</v>
      </c>
      <c r="J153" s="67" t="s">
        <v>41</v>
      </c>
      <c r="K153" s="343">
        <f>ROUND((G153*I153),2)</f>
        <v>45557.760000000002</v>
      </c>
      <c r="L153" s="67" t="s">
        <v>37</v>
      </c>
      <c r="M153" s="67"/>
      <c r="N153" s="67"/>
      <c r="O153" s="70">
        <f t="shared" ref="O153:O156" si="65">ROUNDUP((M153),-1)</f>
        <v>0</v>
      </c>
      <c r="P153" s="67"/>
      <c r="Q153" s="67"/>
      <c r="R153" s="65"/>
      <c r="S153" s="65"/>
      <c r="T153" s="386"/>
      <c r="U153" s="386"/>
      <c r="V153" s="386"/>
      <c r="W153" s="338"/>
    </row>
    <row r="154" spans="1:23" ht="17.25" customHeight="1" x14ac:dyDescent="0.25">
      <c r="A154" s="383"/>
      <c r="B154" s="377"/>
      <c r="C154" s="64"/>
      <c r="D154" s="379"/>
      <c r="E154" s="384"/>
      <c r="F154" s="68" t="str">
        <f>F14</f>
        <v>норматив на 2024 год :</v>
      </c>
      <c r="G154" s="343">
        <v>64</v>
      </c>
      <c r="H154" s="65" t="s">
        <v>294</v>
      </c>
      <c r="I154" s="277">
        <f>ROUNDUP(I153*(1.0822*1.0487),2)</f>
        <v>807.87</v>
      </c>
      <c r="J154" s="67" t="s">
        <v>41</v>
      </c>
      <c r="K154" s="343">
        <f>G154*I154</f>
        <v>51703.68</v>
      </c>
      <c r="L154" s="67" t="s">
        <v>41</v>
      </c>
      <c r="M154" s="70">
        <f>ROUNDUP((K154),0)</f>
        <v>51704</v>
      </c>
      <c r="N154" s="71" t="s">
        <v>37</v>
      </c>
      <c r="O154" s="70">
        <f t="shared" si="65"/>
        <v>51710</v>
      </c>
      <c r="P154" s="67" t="s">
        <v>332</v>
      </c>
      <c r="Q154" s="72"/>
      <c r="R154" s="72"/>
      <c r="S154" s="65"/>
      <c r="T154" s="386"/>
      <c r="U154" s="386"/>
      <c r="V154" s="386"/>
      <c r="W154" s="338" t="str">
        <f>""&amp;TEXT(G154,"0,0")&amp;" шт. х "&amp;TEXT(ROUND((K154),2),"0,00")&amp;" руб. = "&amp;TEXT(ROUND((M154),2),"0 000,00")&amp;" руб. = "&amp;TEXT(O154,"0 000,00")&amp;" руб."</f>
        <v>64,0 шт. х 51703,68 руб. = 51 704,00 руб. = 51 710,00 руб.</v>
      </c>
    </row>
    <row r="155" spans="1:23" ht="23.25" customHeight="1" x14ac:dyDescent="0.25">
      <c r="A155" s="383"/>
      <c r="B155" s="377"/>
      <c r="C155" s="64"/>
      <c r="D155" s="379"/>
      <c r="E155" s="384"/>
      <c r="F155" s="68" t="str">
        <f>F15</f>
        <v>норматив на 2025 год :</v>
      </c>
      <c r="G155" s="343">
        <v>64</v>
      </c>
      <c r="H155" s="67" t="str">
        <f>H154</f>
        <v>шт. х средняя цена с индексом потребительских цен</v>
      </c>
      <c r="I155" s="277">
        <f>ROUNDUP(I154*(1.0457),2)</f>
        <v>844.79</v>
      </c>
      <c r="J155" s="67" t="s">
        <v>41</v>
      </c>
      <c r="K155" s="343">
        <f t="shared" ref="K155:K156" si="66">G155*I155</f>
        <v>54066.559999999998</v>
      </c>
      <c r="L155" s="67" t="s">
        <v>41</v>
      </c>
      <c r="M155" s="70">
        <f t="shared" ref="M155:M156" si="67">ROUNDUP((K155),0)</f>
        <v>54067</v>
      </c>
      <c r="N155" s="71" t="s">
        <v>37</v>
      </c>
      <c r="O155" s="70">
        <f t="shared" si="65"/>
        <v>54070</v>
      </c>
      <c r="P155" s="67" t="s">
        <v>332</v>
      </c>
      <c r="Q155" s="72"/>
      <c r="R155" s="72"/>
      <c r="S155" s="65"/>
      <c r="T155" s="386"/>
      <c r="U155" s="386"/>
      <c r="V155" s="386"/>
      <c r="W155" s="338" t="str">
        <f t="shared" ref="W155:W156" si="68">""&amp;TEXT(G155,"0,0")&amp;" шт. х "&amp;TEXT(ROUND((K155),2),"0,00")&amp;" руб. = "&amp;TEXT(ROUND((M155),2),"0 000,00")&amp;" руб. = "&amp;TEXT(O155,"0 000,00")&amp;" руб."</f>
        <v>64,0 шт. х 54066,56 руб. = 54 067,00 руб. = 54 070,00 руб.</v>
      </c>
    </row>
    <row r="156" spans="1:23" ht="23.25" customHeight="1" x14ac:dyDescent="0.25">
      <c r="A156" s="383"/>
      <c r="B156" s="377"/>
      <c r="C156" s="64"/>
      <c r="D156" s="379"/>
      <c r="E156" s="384"/>
      <c r="F156" s="68" t="str">
        <f>F16</f>
        <v>норматив на 2026 год :</v>
      </c>
      <c r="G156" s="343">
        <v>64</v>
      </c>
      <c r="H156" s="67" t="str">
        <f>H154</f>
        <v>шт. х средняя цена с индексом потребительских цен</v>
      </c>
      <c r="I156" s="277">
        <f>ROUNDUP(I155*(1.0457),2)</f>
        <v>883.4</v>
      </c>
      <c r="J156" s="67" t="s">
        <v>41</v>
      </c>
      <c r="K156" s="343">
        <f t="shared" si="66"/>
        <v>56537.599999999999</v>
      </c>
      <c r="L156" s="67" t="s">
        <v>41</v>
      </c>
      <c r="M156" s="70">
        <f t="shared" si="67"/>
        <v>56538</v>
      </c>
      <c r="N156" s="71" t="s">
        <v>37</v>
      </c>
      <c r="O156" s="70">
        <f t="shared" si="65"/>
        <v>56540</v>
      </c>
      <c r="P156" s="67" t="s">
        <v>332</v>
      </c>
      <c r="Q156" s="72"/>
      <c r="R156" s="72"/>
      <c r="S156" s="65"/>
      <c r="T156" s="387"/>
      <c r="U156" s="387"/>
      <c r="V156" s="387"/>
      <c r="W156" s="338" t="str">
        <f t="shared" si="68"/>
        <v>64,0 шт. х 56537,60 руб. = 56 538,00 руб. = 56 540,00 руб.</v>
      </c>
    </row>
    <row r="157" spans="1:23" ht="89.25" customHeight="1" x14ac:dyDescent="0.25">
      <c r="A157" s="383" t="s">
        <v>311</v>
      </c>
      <c r="B157" s="376" t="s">
        <v>309</v>
      </c>
      <c r="C157" s="64"/>
      <c r="D157" s="378">
        <v>341</v>
      </c>
      <c r="E157" s="378">
        <v>244</v>
      </c>
      <c r="F157" s="380" t="s">
        <v>249</v>
      </c>
      <c r="G157" s="380"/>
      <c r="H157" s="380"/>
      <c r="I157" s="380"/>
      <c r="J157" s="380"/>
      <c r="K157" s="380"/>
      <c r="L157" s="380"/>
      <c r="M157" s="380"/>
      <c r="N157" s="380"/>
      <c r="O157" s="380"/>
      <c r="P157" s="380"/>
      <c r="Q157" s="380"/>
      <c r="R157" s="380"/>
      <c r="S157" s="65"/>
      <c r="T157" s="408">
        <f>O159</f>
        <v>11540</v>
      </c>
      <c r="U157" s="408">
        <f>O160</f>
        <v>12060</v>
      </c>
      <c r="V157" s="408">
        <f>O161</f>
        <v>12610</v>
      </c>
      <c r="W157" s="338" t="s">
        <v>310</v>
      </c>
    </row>
    <row r="158" spans="1:23" ht="23.25" customHeight="1" x14ac:dyDescent="0.25">
      <c r="A158" s="383"/>
      <c r="B158" s="377"/>
      <c r="C158" s="64"/>
      <c r="D158" s="379"/>
      <c r="E158" s="384"/>
      <c r="F158" s="61">
        <v>2022</v>
      </c>
      <c r="G158" s="343">
        <v>11</v>
      </c>
      <c r="H158" s="67" t="s">
        <v>78</v>
      </c>
      <c r="I158" s="343">
        <v>923.64</v>
      </c>
      <c r="J158" s="67" t="s">
        <v>41</v>
      </c>
      <c r="K158" s="343">
        <f>ROUND((G158*I158),2)</f>
        <v>10160.040000000001</v>
      </c>
      <c r="L158" s="67" t="s">
        <v>37</v>
      </c>
      <c r="M158" s="67"/>
      <c r="N158" s="67"/>
      <c r="O158" s="70">
        <f t="shared" ref="O158:O161" si="69">ROUNDUP((M158),-1)</f>
        <v>0</v>
      </c>
      <c r="P158" s="67"/>
      <c r="Q158" s="67"/>
      <c r="R158" s="65"/>
      <c r="S158" s="65"/>
      <c r="T158" s="409"/>
      <c r="U158" s="409"/>
      <c r="V158" s="409"/>
      <c r="W158" s="338"/>
    </row>
    <row r="159" spans="1:23" ht="23.25" customHeight="1" x14ac:dyDescent="0.25">
      <c r="A159" s="383"/>
      <c r="B159" s="377"/>
      <c r="C159" s="64"/>
      <c r="D159" s="379"/>
      <c r="E159" s="384"/>
      <c r="F159" s="68" t="str">
        <f>F14</f>
        <v>норматив на 2024 год :</v>
      </c>
      <c r="G159" s="343">
        <v>11</v>
      </c>
      <c r="H159" s="65" t="s">
        <v>294</v>
      </c>
      <c r="I159" s="277">
        <f>ROUNDUP(I158*(1.0822*1.0487),2)</f>
        <v>1048.25</v>
      </c>
      <c r="J159" s="67" t="s">
        <v>41</v>
      </c>
      <c r="K159" s="343">
        <f>G159*I159</f>
        <v>11530.75</v>
      </c>
      <c r="L159" s="67" t="s">
        <v>41</v>
      </c>
      <c r="M159" s="70">
        <f>ROUNDUP((K159),0)</f>
        <v>11531</v>
      </c>
      <c r="N159" s="71" t="s">
        <v>37</v>
      </c>
      <c r="O159" s="70">
        <f t="shared" si="69"/>
        <v>11540</v>
      </c>
      <c r="P159" s="67" t="s">
        <v>332</v>
      </c>
      <c r="Q159" s="72"/>
      <c r="R159" s="72"/>
      <c r="S159" s="65"/>
      <c r="T159" s="409"/>
      <c r="U159" s="409"/>
      <c r="V159" s="409"/>
      <c r="W159" s="338" t="str">
        <f>""&amp;TEXT(G159,"0,0")&amp;" шт. х "&amp;TEXT(ROUND((K159/G159),2),"0,00")&amp;" руб. = "&amp;TEXT(ROUND((G159*(ROUND((K159/G159),2))),2),"0 000,00")&amp;" руб. = "&amp;TEXT(M159,"0 000,00")&amp;" руб.= "&amp;TEXT(O159,"0 000,00")&amp;" руб."</f>
        <v>11,0 шт. х 1048,25 руб. = 11 530,75 руб. = 11 531,00 руб.= 11 540,00 руб.</v>
      </c>
    </row>
    <row r="160" spans="1:23" ht="23.25" customHeight="1" x14ac:dyDescent="0.25">
      <c r="A160" s="383"/>
      <c r="B160" s="377"/>
      <c r="C160" s="64"/>
      <c r="D160" s="379"/>
      <c r="E160" s="384"/>
      <c r="F160" s="68" t="str">
        <f>F15</f>
        <v>норматив на 2025 год :</v>
      </c>
      <c r="G160" s="343">
        <v>11</v>
      </c>
      <c r="H160" s="67" t="str">
        <f>H159</f>
        <v>шт. х средняя цена с индексом потребительских цен</v>
      </c>
      <c r="I160" s="277">
        <f>ROUNDUP(I159*(1.0457),2)</f>
        <v>1096.1600000000001</v>
      </c>
      <c r="J160" s="67" t="s">
        <v>41</v>
      </c>
      <c r="K160" s="343">
        <f t="shared" ref="K160:K161" si="70">G160*I160</f>
        <v>12057.76</v>
      </c>
      <c r="L160" s="67" t="s">
        <v>41</v>
      </c>
      <c r="M160" s="70">
        <f t="shared" ref="M160:M161" si="71">ROUNDUP((K160),0)</f>
        <v>12058</v>
      </c>
      <c r="N160" s="71" t="s">
        <v>37</v>
      </c>
      <c r="O160" s="70">
        <f t="shared" si="69"/>
        <v>12060</v>
      </c>
      <c r="P160" s="67" t="s">
        <v>332</v>
      </c>
      <c r="Q160" s="72"/>
      <c r="R160" s="72"/>
      <c r="S160" s="65"/>
      <c r="T160" s="409"/>
      <c r="U160" s="409"/>
      <c r="V160" s="409"/>
      <c r="W160" s="338" t="str">
        <f t="shared" ref="W160:W161" si="72">""&amp;TEXT(G160,"0,0")&amp;" шт. х "&amp;TEXT(ROUND((K160/G160),2),"0,00")&amp;" руб. = "&amp;TEXT(ROUND((G160*(ROUND((K160/G160),2))),2),"0 000,00")&amp;" руб. = "&amp;TEXT(M160,"0 000,00")&amp;" руб.= "&amp;TEXT(O160,"0 000,00")&amp;" руб."</f>
        <v>11,0 шт. х 1096,16 руб. = 12 057,76 руб. = 12 058,00 руб.= 12 060,00 руб.</v>
      </c>
    </row>
    <row r="161" spans="1:23" ht="23.25" customHeight="1" x14ac:dyDescent="0.25">
      <c r="A161" s="383"/>
      <c r="B161" s="377"/>
      <c r="C161" s="64"/>
      <c r="D161" s="379"/>
      <c r="E161" s="384"/>
      <c r="F161" s="68" t="str">
        <f>F16</f>
        <v>норматив на 2026 год :</v>
      </c>
      <c r="G161" s="343">
        <v>11</v>
      </c>
      <c r="H161" s="67" t="str">
        <f>H159</f>
        <v>шт. х средняя цена с индексом потребительских цен</v>
      </c>
      <c r="I161" s="277">
        <f>ROUNDUP(I160*(1.0457),2)</f>
        <v>1146.26</v>
      </c>
      <c r="J161" s="67" t="s">
        <v>41</v>
      </c>
      <c r="K161" s="343">
        <f t="shared" si="70"/>
        <v>12608.86</v>
      </c>
      <c r="L161" s="67" t="s">
        <v>41</v>
      </c>
      <c r="M161" s="70">
        <f t="shared" si="71"/>
        <v>12609</v>
      </c>
      <c r="N161" s="71" t="s">
        <v>37</v>
      </c>
      <c r="O161" s="70">
        <f t="shared" si="69"/>
        <v>12610</v>
      </c>
      <c r="P161" s="67" t="s">
        <v>332</v>
      </c>
      <c r="Q161" s="72"/>
      <c r="R161" s="72"/>
      <c r="S161" s="65"/>
      <c r="T161" s="410"/>
      <c r="U161" s="410"/>
      <c r="V161" s="410"/>
      <c r="W161" s="338" t="str">
        <f t="shared" si="72"/>
        <v>11,0 шт. х 1146,26 руб. = 12 608,86 руб. = 12 609,00 руб.= 12 610,00 руб.</v>
      </c>
    </row>
    <row r="162" spans="1:23" ht="100.5" customHeight="1" x14ac:dyDescent="0.25">
      <c r="A162" s="383" t="s">
        <v>314</v>
      </c>
      <c r="B162" s="376" t="s">
        <v>312</v>
      </c>
      <c r="C162" s="64"/>
      <c r="D162" s="378">
        <v>341</v>
      </c>
      <c r="E162" s="378">
        <v>244</v>
      </c>
      <c r="F162" s="380" t="s">
        <v>249</v>
      </c>
      <c r="G162" s="380"/>
      <c r="H162" s="380"/>
      <c r="I162" s="380"/>
      <c r="J162" s="380"/>
      <c r="K162" s="380"/>
      <c r="L162" s="380"/>
      <c r="M162" s="380"/>
      <c r="N162" s="380"/>
      <c r="O162" s="380"/>
      <c r="P162" s="380"/>
      <c r="Q162" s="380"/>
      <c r="R162" s="380"/>
      <c r="S162" s="65"/>
      <c r="T162" s="408">
        <f>O164</f>
        <v>5880</v>
      </c>
      <c r="U162" s="408">
        <f>O165</f>
        <v>6140</v>
      </c>
      <c r="V162" s="408">
        <f>O166</f>
        <v>6430</v>
      </c>
      <c r="W162" s="338" t="s">
        <v>313</v>
      </c>
    </row>
    <row r="163" spans="1:23" ht="23.25" customHeight="1" x14ac:dyDescent="0.25">
      <c r="A163" s="383"/>
      <c r="B163" s="377"/>
      <c r="C163" s="64"/>
      <c r="D163" s="379"/>
      <c r="E163" s="384"/>
      <c r="F163" s="61">
        <v>2022</v>
      </c>
      <c r="G163" s="343">
        <v>64</v>
      </c>
      <c r="H163" s="67" t="s">
        <v>78</v>
      </c>
      <c r="I163" s="343">
        <v>80.819999999999993</v>
      </c>
      <c r="J163" s="67" t="s">
        <v>41</v>
      </c>
      <c r="K163" s="343"/>
      <c r="L163" s="67"/>
      <c r="M163" s="70"/>
      <c r="N163" s="67"/>
      <c r="O163" s="70"/>
      <c r="P163" s="67"/>
      <c r="Q163" s="67"/>
      <c r="R163" s="65"/>
      <c r="S163" s="65"/>
      <c r="T163" s="409"/>
      <c r="U163" s="409"/>
      <c r="V163" s="409"/>
      <c r="W163" s="338"/>
    </row>
    <row r="164" spans="1:23" ht="23.25" customHeight="1" x14ac:dyDescent="0.25">
      <c r="A164" s="383"/>
      <c r="B164" s="377"/>
      <c r="C164" s="64"/>
      <c r="D164" s="379"/>
      <c r="E164" s="384"/>
      <c r="F164" s="68" t="str">
        <f>F14</f>
        <v>норматив на 2024 год :</v>
      </c>
      <c r="G164" s="343">
        <v>64</v>
      </c>
      <c r="H164" s="65" t="s">
        <v>294</v>
      </c>
      <c r="I164" s="277">
        <f>ROUNDUP(I163*(1.0822*1.0487),2)</f>
        <v>91.73</v>
      </c>
      <c r="J164" s="67" t="s">
        <v>41</v>
      </c>
      <c r="K164" s="343">
        <f>G164*I164</f>
        <v>5870.72</v>
      </c>
      <c r="L164" s="67" t="s">
        <v>41</v>
      </c>
      <c r="M164" s="70">
        <f>ROUNDUP((K164),0)</f>
        <v>5871</v>
      </c>
      <c r="N164" s="71" t="s">
        <v>37</v>
      </c>
      <c r="O164" s="70">
        <f t="shared" ref="O164:O166" si="73">ROUNDUP((M164),-1)</f>
        <v>5880</v>
      </c>
      <c r="P164" s="67" t="s">
        <v>332</v>
      </c>
      <c r="Q164" s="72"/>
      <c r="R164" s="72"/>
      <c r="S164" s="65"/>
      <c r="T164" s="409"/>
      <c r="U164" s="409"/>
      <c r="V164" s="409"/>
      <c r="W164" s="338" t="str">
        <f>""&amp;TEXT(G164,"0,0")&amp;" шт. х "&amp;TEXT(ROUND((K164/G164),2),"0,00")&amp;" руб. = "&amp;TEXT(ROUND((G164*(ROUND((K164/G164),2))),2),"0 000,00")&amp;" руб. = "&amp;TEXT(O164,"0 000,00")&amp;" руб."</f>
        <v>64,0 шт. х 91,73 руб. = 5 870,72 руб. = 5 880,00 руб.</v>
      </c>
    </row>
    <row r="165" spans="1:23" ht="23.25" customHeight="1" x14ac:dyDescent="0.25">
      <c r="A165" s="383"/>
      <c r="B165" s="377"/>
      <c r="C165" s="64"/>
      <c r="D165" s="379"/>
      <c r="E165" s="384"/>
      <c r="F165" s="68" t="str">
        <f>F15</f>
        <v>норматив на 2025 год :</v>
      </c>
      <c r="G165" s="343">
        <v>64</v>
      </c>
      <c r="H165" s="67" t="str">
        <f>H164</f>
        <v>шт. х средняя цена с индексом потребительских цен</v>
      </c>
      <c r="I165" s="277">
        <f>ROUNDUP(I164*(1.0457),2)</f>
        <v>95.93</v>
      </c>
      <c r="J165" s="67" t="s">
        <v>41</v>
      </c>
      <c r="K165" s="343">
        <f t="shared" ref="K165:K166" si="74">G165*I165</f>
        <v>6139.52</v>
      </c>
      <c r="L165" s="67" t="s">
        <v>41</v>
      </c>
      <c r="M165" s="70">
        <f t="shared" ref="M165:M166" si="75">ROUNDUP((K165),0)</f>
        <v>6140</v>
      </c>
      <c r="N165" s="71" t="s">
        <v>37</v>
      </c>
      <c r="O165" s="70">
        <f t="shared" si="73"/>
        <v>6140</v>
      </c>
      <c r="P165" s="67" t="s">
        <v>332</v>
      </c>
      <c r="Q165" s="72"/>
      <c r="R165" s="72"/>
      <c r="S165" s="65"/>
      <c r="T165" s="409"/>
      <c r="U165" s="409"/>
      <c r="V165" s="409"/>
      <c r="W165" s="338" t="str">
        <f t="shared" ref="W165:W166" si="76">""&amp;TEXT(G165,"0,0")&amp;" шт. х "&amp;TEXT(ROUND((K165/G165),2),"0,00")&amp;" руб. = "&amp;TEXT(ROUND((G165*(ROUND((K165/G165),2))),2),"0 000,00")&amp;" руб. = "&amp;TEXT(O165,"0 000,00")&amp;" руб."</f>
        <v>64,0 шт. х 95,93 руб. = 6 139,52 руб. = 6 140,00 руб.</v>
      </c>
    </row>
    <row r="166" spans="1:23" ht="23.25" customHeight="1" x14ac:dyDescent="0.25">
      <c r="A166" s="383"/>
      <c r="B166" s="377"/>
      <c r="C166" s="64"/>
      <c r="D166" s="379"/>
      <c r="E166" s="384"/>
      <c r="F166" s="68" t="str">
        <f>F16</f>
        <v>норматив на 2026 год :</v>
      </c>
      <c r="G166" s="343">
        <v>64</v>
      </c>
      <c r="H166" s="67" t="str">
        <f>H164</f>
        <v>шт. х средняя цена с индексом потребительских цен</v>
      </c>
      <c r="I166" s="277">
        <f>ROUNDUP(I165*(1.0457),2)</f>
        <v>100.32000000000001</v>
      </c>
      <c r="J166" s="67" t="s">
        <v>41</v>
      </c>
      <c r="K166" s="343">
        <f t="shared" si="74"/>
        <v>6420.4800000000005</v>
      </c>
      <c r="L166" s="67" t="s">
        <v>41</v>
      </c>
      <c r="M166" s="70">
        <f t="shared" si="75"/>
        <v>6421</v>
      </c>
      <c r="N166" s="71" t="s">
        <v>37</v>
      </c>
      <c r="O166" s="70">
        <f t="shared" si="73"/>
        <v>6430</v>
      </c>
      <c r="P166" s="67" t="s">
        <v>332</v>
      </c>
      <c r="Q166" s="72"/>
      <c r="R166" s="72"/>
      <c r="S166" s="65"/>
      <c r="T166" s="410"/>
      <c r="U166" s="410"/>
      <c r="V166" s="410"/>
      <c r="W166" s="338" t="str">
        <f t="shared" si="76"/>
        <v>64,0 шт. х 100,32 руб. = 6 420,48 руб. = 6 430,00 руб.</v>
      </c>
    </row>
    <row r="167" spans="1:23" ht="107.25" customHeight="1" x14ac:dyDescent="0.25">
      <c r="A167" s="383" t="s">
        <v>317</v>
      </c>
      <c r="B167" s="376" t="s">
        <v>315</v>
      </c>
      <c r="C167" s="64"/>
      <c r="D167" s="378">
        <v>341</v>
      </c>
      <c r="E167" s="378">
        <v>244</v>
      </c>
      <c r="F167" s="380" t="s">
        <v>249</v>
      </c>
      <c r="G167" s="380"/>
      <c r="H167" s="380"/>
      <c r="I167" s="380"/>
      <c r="J167" s="380"/>
      <c r="K167" s="380"/>
      <c r="L167" s="380"/>
      <c r="M167" s="380"/>
      <c r="N167" s="380"/>
      <c r="O167" s="380"/>
      <c r="P167" s="380"/>
      <c r="Q167" s="380"/>
      <c r="R167" s="380"/>
      <c r="S167" s="65"/>
      <c r="T167" s="408">
        <f>O169</f>
        <v>6370</v>
      </c>
      <c r="U167" s="408">
        <f>O170</f>
        <v>6660</v>
      </c>
      <c r="V167" s="408">
        <f>O171</f>
        <v>6970</v>
      </c>
      <c r="W167" s="338" t="s">
        <v>316</v>
      </c>
    </row>
    <row r="168" spans="1:23" ht="23.25" customHeight="1" x14ac:dyDescent="0.25">
      <c r="A168" s="383"/>
      <c r="B168" s="377"/>
      <c r="C168" s="64"/>
      <c r="D168" s="379"/>
      <c r="E168" s="384"/>
      <c r="F168" s="61">
        <v>2022</v>
      </c>
      <c r="G168" s="343">
        <v>64</v>
      </c>
      <c r="H168" s="67" t="s">
        <v>78</v>
      </c>
      <c r="I168" s="343">
        <v>87.67</v>
      </c>
      <c r="J168" s="67" t="s">
        <v>41</v>
      </c>
      <c r="K168" s="343">
        <f>ROUND((G168*I168),2)</f>
        <v>5610.88</v>
      </c>
      <c r="L168" s="67" t="s">
        <v>37</v>
      </c>
      <c r="M168" s="67"/>
      <c r="N168" s="67"/>
      <c r="O168" s="70">
        <f t="shared" ref="O168:O171" si="77">ROUNDUP((M168),-1)</f>
        <v>0</v>
      </c>
      <c r="P168" s="67"/>
      <c r="Q168" s="67"/>
      <c r="R168" s="65"/>
      <c r="S168" s="65"/>
      <c r="T168" s="409"/>
      <c r="U168" s="409"/>
      <c r="V168" s="409"/>
      <c r="W168" s="338"/>
    </row>
    <row r="169" spans="1:23" ht="23.25" customHeight="1" x14ac:dyDescent="0.25">
      <c r="A169" s="383"/>
      <c r="B169" s="377"/>
      <c r="C169" s="64"/>
      <c r="D169" s="379"/>
      <c r="E169" s="384"/>
      <c r="F169" s="68" t="str">
        <f>F14</f>
        <v>норматив на 2024 год :</v>
      </c>
      <c r="G169" s="343">
        <v>64</v>
      </c>
      <c r="H169" s="65" t="s">
        <v>294</v>
      </c>
      <c r="I169" s="277">
        <f>ROUNDUP(I168*(1.0822*1.0487),2)</f>
        <v>99.5</v>
      </c>
      <c r="J169" s="67" t="s">
        <v>41</v>
      </c>
      <c r="K169" s="343">
        <f>G169*I169</f>
        <v>6368</v>
      </c>
      <c r="L169" s="67" t="s">
        <v>41</v>
      </c>
      <c r="M169" s="70">
        <f>ROUNDUP((K169),0)</f>
        <v>6368</v>
      </c>
      <c r="N169" s="71" t="s">
        <v>37</v>
      </c>
      <c r="O169" s="70">
        <f t="shared" si="77"/>
        <v>6370</v>
      </c>
      <c r="P169" s="67" t="s">
        <v>332</v>
      </c>
      <c r="Q169" s="72"/>
      <c r="R169" s="72"/>
      <c r="S169" s="65"/>
      <c r="T169" s="409"/>
      <c r="U169" s="409"/>
      <c r="V169" s="409"/>
      <c r="W169" s="338" t="str">
        <f>""&amp;TEXT(G169,"0,0")&amp;" шт. х "&amp;TEXT(ROUND((K169/G169),2),"0,00")&amp;" руб. = "&amp;TEXT(ROUND((G169*(ROUND((K169/G169),2))),2),"0 000,00")&amp;" руб. = "&amp;TEXT(O169,"0 000,00")&amp;" руб."</f>
        <v>64,0 шт. х 99,50 руб. = 6 368,00 руб. = 6 370,00 руб.</v>
      </c>
    </row>
    <row r="170" spans="1:23" ht="23.25" customHeight="1" x14ac:dyDescent="0.25">
      <c r="A170" s="383"/>
      <c r="B170" s="377"/>
      <c r="C170" s="64"/>
      <c r="D170" s="379"/>
      <c r="E170" s="384"/>
      <c r="F170" s="68" t="str">
        <f>F15</f>
        <v>норматив на 2025 год :</v>
      </c>
      <c r="G170" s="343">
        <v>64</v>
      </c>
      <c r="H170" s="67" t="str">
        <f>H169</f>
        <v>шт. х средняя цена с индексом потребительских цен</v>
      </c>
      <c r="I170" s="277">
        <f>ROUNDUP(I169*(1.0457),2)</f>
        <v>104.05000000000001</v>
      </c>
      <c r="J170" s="67" t="s">
        <v>41</v>
      </c>
      <c r="K170" s="343">
        <f t="shared" ref="K170:K171" si="78">G170*I170</f>
        <v>6659.2000000000007</v>
      </c>
      <c r="L170" s="67" t="s">
        <v>41</v>
      </c>
      <c r="M170" s="70">
        <f t="shared" ref="M170:M171" si="79">ROUNDUP((K170),0)</f>
        <v>6660</v>
      </c>
      <c r="N170" s="71" t="s">
        <v>37</v>
      </c>
      <c r="O170" s="70">
        <f t="shared" si="77"/>
        <v>6660</v>
      </c>
      <c r="P170" s="67" t="s">
        <v>332</v>
      </c>
      <c r="Q170" s="72"/>
      <c r="R170" s="72"/>
      <c r="S170" s="65"/>
      <c r="T170" s="409"/>
      <c r="U170" s="409"/>
      <c r="V170" s="409"/>
      <c r="W170" s="338" t="str">
        <f t="shared" ref="W170:W171" si="80">""&amp;TEXT(G170,"0,0")&amp;" шт. х "&amp;TEXT(ROUND((K170/G170),2),"0,00")&amp;" руб. = "&amp;TEXT(ROUND((G170*(ROUND((K170/G170),2))),2),"0 000,00")&amp;" руб. = "&amp;TEXT(O170,"0 000,00")&amp;" руб."</f>
        <v>64,0 шт. х 104,05 руб. = 6 659,20 руб. = 6 660,00 руб.</v>
      </c>
    </row>
    <row r="171" spans="1:23" ht="23.25" customHeight="1" x14ac:dyDescent="0.25">
      <c r="A171" s="383"/>
      <c r="B171" s="377"/>
      <c r="C171" s="64"/>
      <c r="D171" s="379"/>
      <c r="E171" s="384"/>
      <c r="F171" s="68" t="str">
        <f>F16</f>
        <v>норматив на 2026 год :</v>
      </c>
      <c r="G171" s="343">
        <v>64</v>
      </c>
      <c r="H171" s="67" t="str">
        <f>H169</f>
        <v>шт. х средняя цена с индексом потребительских цен</v>
      </c>
      <c r="I171" s="277">
        <f>ROUNDUP(I170*(1.0457),2)</f>
        <v>108.81</v>
      </c>
      <c r="J171" s="67" t="s">
        <v>41</v>
      </c>
      <c r="K171" s="343">
        <f t="shared" si="78"/>
        <v>6963.84</v>
      </c>
      <c r="L171" s="67" t="s">
        <v>41</v>
      </c>
      <c r="M171" s="70">
        <f t="shared" si="79"/>
        <v>6964</v>
      </c>
      <c r="N171" s="71" t="s">
        <v>37</v>
      </c>
      <c r="O171" s="70">
        <f t="shared" si="77"/>
        <v>6970</v>
      </c>
      <c r="P171" s="67" t="s">
        <v>332</v>
      </c>
      <c r="Q171" s="72"/>
      <c r="R171" s="72"/>
      <c r="S171" s="65"/>
      <c r="T171" s="410"/>
      <c r="U171" s="410"/>
      <c r="V171" s="410"/>
      <c r="W171" s="338" t="str">
        <f t="shared" si="80"/>
        <v>64,0 шт. х 108,81 руб. = 6 963,84 руб. = 6 970,00 руб.</v>
      </c>
    </row>
    <row r="172" spans="1:23" ht="111" customHeight="1" x14ac:dyDescent="0.25">
      <c r="A172" s="383" t="s">
        <v>320</v>
      </c>
      <c r="B172" s="376" t="s">
        <v>318</v>
      </c>
      <c r="C172" s="64"/>
      <c r="D172" s="378">
        <v>346</v>
      </c>
      <c r="E172" s="378">
        <v>244</v>
      </c>
      <c r="F172" s="380" t="s">
        <v>249</v>
      </c>
      <c r="G172" s="380"/>
      <c r="H172" s="380"/>
      <c r="I172" s="380"/>
      <c r="J172" s="380"/>
      <c r="K172" s="380"/>
      <c r="L172" s="380"/>
      <c r="M172" s="380"/>
      <c r="N172" s="380"/>
      <c r="O172" s="380"/>
      <c r="P172" s="380"/>
      <c r="Q172" s="380"/>
      <c r="R172" s="380"/>
      <c r="S172" s="65"/>
      <c r="T172" s="408">
        <f>O174</f>
        <v>16300</v>
      </c>
      <c r="U172" s="408">
        <f>O175</f>
        <v>17050</v>
      </c>
      <c r="V172" s="408">
        <f>O176</f>
        <v>17820</v>
      </c>
      <c r="W172" s="338" t="s">
        <v>319</v>
      </c>
    </row>
    <row r="173" spans="1:23" ht="23.25" customHeight="1" x14ac:dyDescent="0.25">
      <c r="A173" s="383"/>
      <c r="B173" s="377"/>
      <c r="C173" s="64"/>
      <c r="D173" s="379"/>
      <c r="E173" s="384"/>
      <c r="F173" s="61">
        <v>2022</v>
      </c>
      <c r="G173" s="343">
        <v>20</v>
      </c>
      <c r="H173" s="67" t="s">
        <v>78</v>
      </c>
      <c r="I173" s="343">
        <f>ROUNDUP((14358.6/20),2)</f>
        <v>717.93</v>
      </c>
      <c r="J173" s="67" t="s">
        <v>41</v>
      </c>
      <c r="K173" s="343">
        <f>ROUND((G173*I173),2)</f>
        <v>14358.6</v>
      </c>
      <c r="L173" s="67" t="s">
        <v>37</v>
      </c>
      <c r="M173" s="67"/>
      <c r="N173" s="67"/>
      <c r="O173" s="70">
        <f t="shared" ref="O173:O176" si="81">ROUNDUP((M173),-1)</f>
        <v>0</v>
      </c>
      <c r="P173" s="67"/>
      <c r="Q173" s="67"/>
      <c r="R173" s="65"/>
      <c r="S173" s="65"/>
      <c r="T173" s="409"/>
      <c r="U173" s="409"/>
      <c r="V173" s="409"/>
      <c r="W173" s="338"/>
    </row>
    <row r="174" spans="1:23" ht="23.25" customHeight="1" x14ac:dyDescent="0.25">
      <c r="A174" s="383"/>
      <c r="B174" s="377"/>
      <c r="C174" s="64"/>
      <c r="D174" s="379"/>
      <c r="E174" s="384"/>
      <c r="F174" s="68" t="str">
        <f>F14</f>
        <v>норматив на 2024 год :</v>
      </c>
      <c r="G174" s="343">
        <v>20</v>
      </c>
      <c r="H174" s="65" t="s">
        <v>294</v>
      </c>
      <c r="I174" s="277">
        <f>ROUNDUP(I173*(1.0822*1.0487),2)</f>
        <v>814.79</v>
      </c>
      <c r="J174" s="67" t="s">
        <v>41</v>
      </c>
      <c r="K174" s="343">
        <f>G174*I174</f>
        <v>16295.8</v>
      </c>
      <c r="L174" s="67" t="s">
        <v>41</v>
      </c>
      <c r="M174" s="70">
        <f>ROUNDUP((K174),0)</f>
        <v>16296</v>
      </c>
      <c r="N174" s="71" t="s">
        <v>37</v>
      </c>
      <c r="O174" s="70">
        <f t="shared" si="81"/>
        <v>16300</v>
      </c>
      <c r="P174" s="67" t="s">
        <v>332</v>
      </c>
      <c r="Q174" s="72"/>
      <c r="R174" s="72"/>
      <c r="S174" s="65"/>
      <c r="T174" s="409"/>
      <c r="U174" s="409"/>
      <c r="V174" s="409"/>
      <c r="W174" s="338" t="str">
        <f>""&amp;TEXT(G174,"0,0")&amp;" шт. х "&amp;TEXT(ROUND((K174/G174),2),"0,00")&amp;" руб. = "&amp;TEXT(ROUND((G174*(ROUND((K174/G174),2))),2),"0 000,00")&amp;" руб. = "&amp;TEXT(O174,"0 000,00")&amp;" руб."</f>
        <v>20,0 шт. х 814,79 руб. = 16 295,80 руб. = 16 300,00 руб.</v>
      </c>
    </row>
    <row r="175" spans="1:23" ht="23.25" customHeight="1" x14ac:dyDescent="0.25">
      <c r="A175" s="383"/>
      <c r="B175" s="377"/>
      <c r="C175" s="64"/>
      <c r="D175" s="379"/>
      <c r="E175" s="384"/>
      <c r="F175" s="68" t="str">
        <f>F15</f>
        <v>норматив на 2025 год :</v>
      </c>
      <c r="G175" s="343">
        <v>20</v>
      </c>
      <c r="H175" s="67" t="str">
        <f>H174</f>
        <v>шт. х средняя цена с индексом потребительских цен</v>
      </c>
      <c r="I175" s="277">
        <f>ROUNDUP(I174*(1.0457),2)</f>
        <v>852.03</v>
      </c>
      <c r="J175" s="67" t="s">
        <v>41</v>
      </c>
      <c r="K175" s="343">
        <f t="shared" ref="K175:K176" si="82">G175*I175</f>
        <v>17040.599999999999</v>
      </c>
      <c r="L175" s="67" t="s">
        <v>41</v>
      </c>
      <c r="M175" s="70">
        <f t="shared" ref="M175:M176" si="83">ROUNDUP((K175),0)</f>
        <v>17041</v>
      </c>
      <c r="N175" s="71" t="s">
        <v>37</v>
      </c>
      <c r="O175" s="70">
        <f t="shared" si="81"/>
        <v>17050</v>
      </c>
      <c r="P175" s="67" t="s">
        <v>332</v>
      </c>
      <c r="Q175" s="72"/>
      <c r="R175" s="72"/>
      <c r="S175" s="65"/>
      <c r="T175" s="409"/>
      <c r="U175" s="409"/>
      <c r="V175" s="409"/>
      <c r="W175" s="338" t="str">
        <f t="shared" ref="W175:W176" si="84">""&amp;TEXT(G175,"0,0")&amp;" шт. х "&amp;TEXT(ROUND((K175/G175),2),"0,00")&amp;" руб. = "&amp;TEXT(ROUND((G175*(ROUND((K175/G175),2))),2),"0 000,00")&amp;" руб. = "&amp;TEXT(O175,"0 000,00")&amp;" руб."</f>
        <v>20,0 шт. х 852,03 руб. = 17 040,60 руб. = 17 050,00 руб.</v>
      </c>
    </row>
    <row r="176" spans="1:23" ht="23.25" customHeight="1" x14ac:dyDescent="0.25">
      <c r="A176" s="383"/>
      <c r="B176" s="377"/>
      <c r="C176" s="64"/>
      <c r="D176" s="379"/>
      <c r="E176" s="384"/>
      <c r="F176" s="68" t="str">
        <f>F16</f>
        <v>норматив на 2026 год :</v>
      </c>
      <c r="G176" s="343">
        <v>20</v>
      </c>
      <c r="H176" s="67" t="str">
        <f>H174</f>
        <v>шт. х средняя цена с индексом потребительских цен</v>
      </c>
      <c r="I176" s="277">
        <f>ROUNDUP(I175*(1.0457),2)</f>
        <v>890.97</v>
      </c>
      <c r="J176" s="67" t="s">
        <v>41</v>
      </c>
      <c r="K176" s="343">
        <f t="shared" si="82"/>
        <v>17819.400000000001</v>
      </c>
      <c r="L176" s="67" t="s">
        <v>41</v>
      </c>
      <c r="M176" s="70">
        <f t="shared" si="83"/>
        <v>17820</v>
      </c>
      <c r="N176" s="71" t="s">
        <v>37</v>
      </c>
      <c r="O176" s="70">
        <f t="shared" si="81"/>
        <v>17820</v>
      </c>
      <c r="P176" s="67" t="s">
        <v>332</v>
      </c>
      <c r="Q176" s="72"/>
      <c r="R176" s="72"/>
      <c r="S176" s="65"/>
      <c r="T176" s="410"/>
      <c r="U176" s="410"/>
      <c r="V176" s="410"/>
      <c r="W176" s="338" t="str">
        <f t="shared" si="84"/>
        <v>20,0 шт. х 890,97 руб. = 17 819,40 руб. = 17 820,00 руб.</v>
      </c>
    </row>
    <row r="177" spans="1:23" ht="90" x14ac:dyDescent="0.25">
      <c r="A177" s="383" t="s">
        <v>354</v>
      </c>
      <c r="B177" s="376" t="s">
        <v>214</v>
      </c>
      <c r="C177" s="64"/>
      <c r="D177" s="378">
        <v>346</v>
      </c>
      <c r="E177" s="378">
        <v>244</v>
      </c>
      <c r="F177" s="380" t="s">
        <v>249</v>
      </c>
      <c r="G177" s="380"/>
      <c r="H177" s="380"/>
      <c r="I177" s="380"/>
      <c r="J177" s="380"/>
      <c r="K177" s="380"/>
      <c r="L177" s="380"/>
      <c r="M177" s="380"/>
      <c r="N177" s="380"/>
      <c r="O177" s="380"/>
      <c r="P177" s="380"/>
      <c r="Q177" s="380"/>
      <c r="R177" s="380"/>
      <c r="S177" s="65"/>
      <c r="T177" s="381">
        <f>M179</f>
        <v>689580</v>
      </c>
      <c r="U177" s="381">
        <f>M180</f>
        <v>721170</v>
      </c>
      <c r="V177" s="381">
        <f>M181</f>
        <v>754245</v>
      </c>
      <c r="W177" s="338" t="s">
        <v>215</v>
      </c>
    </row>
    <row r="178" spans="1:23" ht="20.25" customHeight="1" outlineLevel="1" x14ac:dyDescent="0.25">
      <c r="A178" s="383"/>
      <c r="B178" s="377"/>
      <c r="C178" s="64"/>
      <c r="D178" s="379"/>
      <c r="E178" s="384"/>
      <c r="F178" s="61">
        <v>2022</v>
      </c>
      <c r="G178" s="343"/>
      <c r="H178" s="67" t="s">
        <v>335</v>
      </c>
      <c r="I178" s="343">
        <v>45</v>
      </c>
      <c r="J178" s="67" t="s">
        <v>41</v>
      </c>
      <c r="K178" s="343">
        <f>ROUND((G178*I178),2)</f>
        <v>0</v>
      </c>
      <c r="L178" s="67" t="s">
        <v>37</v>
      </c>
      <c r="M178" s="67"/>
      <c r="N178" s="67"/>
      <c r="O178" s="70">
        <f t="shared" ref="O178:O181" si="85">ROUNDUP((M178),-1)</f>
        <v>0</v>
      </c>
      <c r="P178" s="67"/>
      <c r="Q178" s="67"/>
      <c r="R178" s="65"/>
      <c r="S178" s="65"/>
      <c r="T178" s="381"/>
      <c r="U178" s="381"/>
      <c r="V178" s="381"/>
      <c r="W178" s="338"/>
    </row>
    <row r="179" spans="1:23" ht="24.75" customHeight="1" x14ac:dyDescent="0.25">
      <c r="A179" s="383"/>
      <c r="B179" s="377"/>
      <c r="C179" s="64"/>
      <c r="D179" s="379"/>
      <c r="E179" s="384"/>
      <c r="F179" s="68" t="s">
        <v>193</v>
      </c>
      <c r="G179" s="343">
        <v>13500</v>
      </c>
      <c r="H179" s="243" t="s">
        <v>294</v>
      </c>
      <c r="I179" s="277">
        <f>ROUNDUP(I178*(1.0822*1.0487),2)</f>
        <v>51.08</v>
      </c>
      <c r="J179" s="67" t="s">
        <v>41</v>
      </c>
      <c r="K179" s="343">
        <f>ROUND((G179*I179),2)</f>
        <v>689580</v>
      </c>
      <c r="L179" s="67" t="s">
        <v>41</v>
      </c>
      <c r="M179" s="70">
        <f>ROUNDUP((K179),0)</f>
        <v>689580</v>
      </c>
      <c r="N179" s="71" t="s">
        <v>37</v>
      </c>
      <c r="O179" s="70">
        <f t="shared" si="85"/>
        <v>689580</v>
      </c>
      <c r="P179" s="67" t="s">
        <v>332</v>
      </c>
      <c r="Q179" s="72"/>
      <c r="R179" s="72"/>
      <c r="S179" s="65"/>
      <c r="T179" s="381"/>
      <c r="U179" s="381"/>
      <c r="V179" s="381"/>
      <c r="W179" s="338" t="str">
        <f>""&amp;TEXT(G179,"0,0")&amp;" шт. х "&amp;TEXT(ROUND((I179),2),"0,00")&amp;" руб. = "&amp;TEXT(ROUND((K179),2),"0 000,00")&amp;" руб. = "&amp;TEXT(M179,"0 000,00")&amp;" руб."</f>
        <v>13500,0 шт. х 51,08 руб. = 689 580,00 руб. = 689 580,00 руб.</v>
      </c>
    </row>
    <row r="180" spans="1:23" ht="24.75" customHeight="1" x14ac:dyDescent="0.25">
      <c r="A180" s="383"/>
      <c r="B180" s="377"/>
      <c r="C180" s="64"/>
      <c r="D180" s="379"/>
      <c r="E180" s="384"/>
      <c r="F180" s="68" t="s">
        <v>226</v>
      </c>
      <c r="G180" s="343">
        <f>G179</f>
        <v>13500</v>
      </c>
      <c r="H180" s="243" t="s">
        <v>294</v>
      </c>
      <c r="I180" s="277">
        <f>ROUNDUP(I179*(1.0457),2)</f>
        <v>53.419999999999995</v>
      </c>
      <c r="J180" s="67" t="s">
        <v>41</v>
      </c>
      <c r="K180" s="343">
        <f t="shared" ref="K180:K181" si="86">ROUND((G180*I180),2)</f>
        <v>721170</v>
      </c>
      <c r="L180" s="67" t="s">
        <v>41</v>
      </c>
      <c r="M180" s="70">
        <f t="shared" ref="M180:M181" si="87">ROUNDUP((K180),0)</f>
        <v>721170</v>
      </c>
      <c r="N180" s="71" t="s">
        <v>37</v>
      </c>
      <c r="O180" s="70">
        <f t="shared" si="85"/>
        <v>721170</v>
      </c>
      <c r="P180" s="67" t="s">
        <v>332</v>
      </c>
      <c r="Q180" s="72"/>
      <c r="R180" s="72"/>
      <c r="S180" s="65"/>
      <c r="T180" s="381"/>
      <c r="U180" s="381"/>
      <c r="V180" s="381"/>
      <c r="W180" s="338" t="str">
        <f t="shared" ref="W180:W181" si="88">""&amp;TEXT(G180,"0,0")&amp;" шт. х "&amp;TEXT(ROUND((I180),2),"0,00")&amp;" руб. = "&amp;TEXT(ROUND((K180),2),"0 000,00")&amp;" руб. = "&amp;TEXT(M180,"0 000,00")&amp;" руб."</f>
        <v>13500,0 шт. х 53,42 руб. = 721 170,00 руб. = 721 170,00 руб.</v>
      </c>
    </row>
    <row r="181" spans="1:23" ht="24.75" customHeight="1" x14ac:dyDescent="0.25">
      <c r="A181" s="383"/>
      <c r="B181" s="377"/>
      <c r="C181" s="64"/>
      <c r="D181" s="379"/>
      <c r="E181" s="384"/>
      <c r="F181" s="68" t="s">
        <v>240</v>
      </c>
      <c r="G181" s="343">
        <f>G180</f>
        <v>13500</v>
      </c>
      <c r="H181" s="243" t="s">
        <v>294</v>
      </c>
      <c r="I181" s="277">
        <f>ROUNDUP(I180*(1.0457),2)</f>
        <v>55.87</v>
      </c>
      <c r="J181" s="67" t="s">
        <v>41</v>
      </c>
      <c r="K181" s="343">
        <f t="shared" si="86"/>
        <v>754245</v>
      </c>
      <c r="L181" s="67" t="s">
        <v>41</v>
      </c>
      <c r="M181" s="70">
        <f t="shared" si="87"/>
        <v>754245</v>
      </c>
      <c r="N181" s="71" t="s">
        <v>37</v>
      </c>
      <c r="O181" s="70">
        <f t="shared" si="85"/>
        <v>754250</v>
      </c>
      <c r="P181" s="67" t="s">
        <v>332</v>
      </c>
      <c r="Q181" s="70"/>
      <c r="R181" s="71"/>
      <c r="S181" s="65"/>
      <c r="T181" s="382"/>
      <c r="U181" s="382"/>
      <c r="V181" s="382"/>
      <c r="W181" s="338" t="str">
        <f t="shared" si="88"/>
        <v>13500,0 шт. х 55,87 руб. = 754 245,00 руб. = 754 245,00 руб.</v>
      </c>
    </row>
    <row r="182" spans="1:23" ht="90" x14ac:dyDescent="0.25">
      <c r="A182" s="383" t="s">
        <v>355</v>
      </c>
      <c r="B182" s="376" t="s">
        <v>219</v>
      </c>
      <c r="C182" s="64"/>
      <c r="D182" s="378">
        <v>346</v>
      </c>
      <c r="E182" s="378">
        <v>244</v>
      </c>
      <c r="F182" s="380" t="s">
        <v>358</v>
      </c>
      <c r="G182" s="380"/>
      <c r="H182" s="380"/>
      <c r="I182" s="380"/>
      <c r="J182" s="380"/>
      <c r="K182" s="380"/>
      <c r="L182" s="380"/>
      <c r="M182" s="380"/>
      <c r="N182" s="380"/>
      <c r="O182" s="380"/>
      <c r="P182" s="380"/>
      <c r="Q182" s="380"/>
      <c r="R182" s="380"/>
      <c r="S182" s="65"/>
      <c r="T182" s="381">
        <f>M184</f>
        <v>37544</v>
      </c>
      <c r="U182" s="381">
        <f>M185</f>
        <v>39260</v>
      </c>
      <c r="V182" s="381">
        <f>M186</f>
        <v>41054</v>
      </c>
      <c r="W182" s="338" t="s">
        <v>359</v>
      </c>
    </row>
    <row r="183" spans="1:23" ht="20.25" customHeight="1" outlineLevel="1" x14ac:dyDescent="0.25">
      <c r="A183" s="383"/>
      <c r="B183" s="377"/>
      <c r="C183" s="64"/>
      <c r="D183" s="379"/>
      <c r="E183" s="384"/>
      <c r="F183" s="61"/>
      <c r="G183" s="343"/>
      <c r="H183" s="67" t="s">
        <v>335</v>
      </c>
      <c r="I183" s="343"/>
      <c r="J183" s="67" t="s">
        <v>41</v>
      </c>
      <c r="K183" s="343">
        <f>ROUND((G183*I183),2)</f>
        <v>0</v>
      </c>
      <c r="L183" s="67" t="s">
        <v>37</v>
      </c>
      <c r="M183" s="67"/>
      <c r="N183" s="67"/>
      <c r="O183" s="70">
        <f t="shared" ref="O183:O186" si="89">ROUNDUP((M183),-1)</f>
        <v>0</v>
      </c>
      <c r="P183" s="67"/>
      <c r="Q183" s="67"/>
      <c r="R183" s="65"/>
      <c r="S183" s="65"/>
      <c r="T183" s="381"/>
      <c r="U183" s="381"/>
      <c r="V183" s="381"/>
      <c r="W183" s="338"/>
    </row>
    <row r="184" spans="1:23" ht="24.75" customHeight="1" x14ac:dyDescent="0.25">
      <c r="A184" s="383"/>
      <c r="B184" s="377"/>
      <c r="C184" s="64"/>
      <c r="D184" s="379"/>
      <c r="E184" s="384"/>
      <c r="F184" s="68" t="str">
        <f>F14</f>
        <v>норматив на 2024 год :</v>
      </c>
      <c r="G184" s="343">
        <v>4</v>
      </c>
      <c r="H184" s="243" t="s">
        <v>294</v>
      </c>
      <c r="I184" s="277">
        <f>8950*1.0487</f>
        <v>9385.8649999999998</v>
      </c>
      <c r="J184" s="67" t="s">
        <v>41</v>
      </c>
      <c r="K184" s="343">
        <f>ROUND((G184*I184),2)</f>
        <v>37543.46</v>
      </c>
      <c r="L184" s="67" t="s">
        <v>41</v>
      </c>
      <c r="M184" s="70">
        <f>ROUNDUP((K184),0)</f>
        <v>37544</v>
      </c>
      <c r="N184" s="71" t="s">
        <v>37</v>
      </c>
      <c r="O184" s="70">
        <f t="shared" si="89"/>
        <v>37550</v>
      </c>
      <c r="P184" s="67" t="s">
        <v>332</v>
      </c>
      <c r="Q184" s="72"/>
      <c r="R184" s="72"/>
      <c r="S184" s="65"/>
      <c r="T184" s="381"/>
      <c r="U184" s="381"/>
      <c r="V184" s="381"/>
      <c r="W184" s="338" t="str">
        <f>""&amp;TEXT(G184,"0,0")&amp;" шт. х "&amp;TEXT(ROUND((I184),2),"0,00")&amp;" руб. = "&amp;TEXT(ROUND((K184),2),"0 000,00")&amp;" руб. = "&amp;TEXT(M184,"0 000,00")&amp;" руб."</f>
        <v>4,0 шт. х 9385,87 руб. = 37 543,46 руб. = 37 544,00 руб.</v>
      </c>
    </row>
    <row r="185" spans="1:23" ht="24.75" customHeight="1" x14ac:dyDescent="0.25">
      <c r="A185" s="383"/>
      <c r="B185" s="377"/>
      <c r="C185" s="64"/>
      <c r="D185" s="379"/>
      <c r="E185" s="384"/>
      <c r="F185" s="68" t="str">
        <f>F15</f>
        <v>норматив на 2025 год :</v>
      </c>
      <c r="G185" s="343">
        <f>G184</f>
        <v>4</v>
      </c>
      <c r="H185" s="243" t="s">
        <v>294</v>
      </c>
      <c r="I185" s="277">
        <f>ROUNDUP(I184*(1.0457),2)</f>
        <v>9814.8000000000011</v>
      </c>
      <c r="J185" s="67" t="s">
        <v>41</v>
      </c>
      <c r="K185" s="343">
        <f t="shared" ref="K185:K186" si="90">ROUND((G185*I185),2)</f>
        <v>39259.199999999997</v>
      </c>
      <c r="L185" s="67" t="s">
        <v>41</v>
      </c>
      <c r="M185" s="70">
        <f t="shared" ref="M185:M186" si="91">ROUNDUP((K185),0)</f>
        <v>39260</v>
      </c>
      <c r="N185" s="71" t="s">
        <v>37</v>
      </c>
      <c r="O185" s="70">
        <f t="shared" si="89"/>
        <v>39260</v>
      </c>
      <c r="P185" s="67" t="s">
        <v>332</v>
      </c>
      <c r="Q185" s="72"/>
      <c r="R185" s="72"/>
      <c r="S185" s="65"/>
      <c r="T185" s="381"/>
      <c r="U185" s="381"/>
      <c r="V185" s="381"/>
      <c r="W185" s="338" t="str">
        <f t="shared" ref="W185:W186" si="92">""&amp;TEXT(G185,"0,0")&amp;" шт. х "&amp;TEXT(ROUND((I185),2),"0,00")&amp;" руб. = "&amp;TEXT(ROUND((K185),2),"0 000,00")&amp;" руб. = "&amp;TEXT(M185,"0 000,00")&amp;" руб."</f>
        <v>4,0 шт. х 9814,80 руб. = 39 259,20 руб. = 39 260,00 руб.</v>
      </c>
    </row>
    <row r="186" spans="1:23" ht="24.75" customHeight="1" x14ac:dyDescent="0.25">
      <c r="A186" s="383"/>
      <c r="B186" s="377"/>
      <c r="C186" s="64"/>
      <c r="D186" s="379"/>
      <c r="E186" s="384"/>
      <c r="F186" s="68" t="str">
        <f>F16</f>
        <v>норматив на 2026 год :</v>
      </c>
      <c r="G186" s="343">
        <f>G185</f>
        <v>4</v>
      </c>
      <c r="H186" s="243" t="s">
        <v>294</v>
      </c>
      <c r="I186" s="277">
        <f>ROUNDUP(I185*(1.0457),2)</f>
        <v>10263.34</v>
      </c>
      <c r="J186" s="67" t="s">
        <v>41</v>
      </c>
      <c r="K186" s="343">
        <f t="shared" si="90"/>
        <v>41053.360000000001</v>
      </c>
      <c r="L186" s="67" t="s">
        <v>41</v>
      </c>
      <c r="M186" s="70">
        <f t="shared" si="91"/>
        <v>41054</v>
      </c>
      <c r="N186" s="71" t="s">
        <v>37</v>
      </c>
      <c r="O186" s="70">
        <f t="shared" si="89"/>
        <v>41060</v>
      </c>
      <c r="P186" s="67" t="s">
        <v>332</v>
      </c>
      <c r="Q186" s="70"/>
      <c r="R186" s="71"/>
      <c r="S186" s="65"/>
      <c r="T186" s="382"/>
      <c r="U186" s="382"/>
      <c r="V186" s="382"/>
      <c r="W186" s="338" t="str">
        <f t="shared" si="92"/>
        <v>4,0 шт. х 10263,34 руб. = 41 053,36 руб. = 41 054,00 руб.</v>
      </c>
    </row>
    <row r="187" spans="1:23" s="303" customFormat="1" ht="99.75" customHeight="1" x14ac:dyDescent="0.25">
      <c r="A187" s="288" t="s">
        <v>19</v>
      </c>
      <c r="B187" s="341" t="s">
        <v>93</v>
      </c>
      <c r="C187" s="301"/>
      <c r="D187" s="302" t="s">
        <v>35</v>
      </c>
      <c r="E187" s="302" t="s">
        <v>35</v>
      </c>
      <c r="F187" s="479"/>
      <c r="G187" s="480"/>
      <c r="H187" s="480"/>
      <c r="I187" s="480"/>
      <c r="J187" s="480"/>
      <c r="K187" s="480"/>
      <c r="L187" s="480"/>
      <c r="M187" s="480"/>
      <c r="N187" s="480"/>
      <c r="O187" s="480"/>
      <c r="P187" s="480"/>
      <c r="Q187" s="480"/>
      <c r="R187" s="480"/>
      <c r="S187" s="480"/>
      <c r="T187" s="290">
        <f>T188+T193+T198+T203+T208+T213+T218</f>
        <v>4220350</v>
      </c>
      <c r="U187" s="290">
        <f t="shared" ref="U187:V187" si="93">U188+U193+U198+U203+U208+U213+U218</f>
        <v>4413220</v>
      </c>
      <c r="V187" s="290">
        <f t="shared" si="93"/>
        <v>4614900</v>
      </c>
      <c r="W187" s="287" t="str">
        <f>"Нормативные "&amp;TEXT(B187,"0")&amp;" включают в себя:
нормативные "&amp;TEXT(B188,"0")&amp;";
нормативные "&amp;TEXT(B193,"0")&amp;";
нормативные "&amp;TEXT(B198,"0")&amp;"; нормативные "&amp;TEXT(B203,"0")&amp;"; нормативные "&amp;TEXT(B208,"0")&amp;"; нормативные "&amp;TEXT(B213,"0")&amp;"; нормативные "&amp;TEXT(B218,"0")&amp;""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
нормативные затраты на оказание услуг по обучению персонала;
нормативные затраты на оказание нотариальных услуг; нормативные затраты на оказание архивных услуг по переплету документов; нормативные затраты на оказание услуг по составлению архивной описи; нормативные затраты на оказание услуг по проведению специальной оценки условий труда; нормативные затраты на оказание услуг по проведению  оценки профессиональных рисков</v>
      </c>
    </row>
    <row r="188" spans="1:23" ht="102" customHeight="1" x14ac:dyDescent="0.25">
      <c r="A188" s="383" t="s">
        <v>20</v>
      </c>
      <c r="B188" s="376" t="s">
        <v>189</v>
      </c>
      <c r="C188" s="64"/>
      <c r="D188" s="378">
        <v>226</v>
      </c>
      <c r="E188" s="378">
        <v>244</v>
      </c>
      <c r="F188" s="380" t="s">
        <v>249</v>
      </c>
      <c r="G188" s="380"/>
      <c r="H188" s="380"/>
      <c r="I188" s="380"/>
      <c r="J188" s="380"/>
      <c r="K188" s="380"/>
      <c r="L188" s="380"/>
      <c r="M188" s="380"/>
      <c r="N188" s="380"/>
      <c r="O188" s="380"/>
      <c r="P188" s="380"/>
      <c r="Q188" s="380"/>
      <c r="R188" s="380"/>
      <c r="S188" s="65"/>
      <c r="T188" s="381">
        <f>O190</f>
        <v>240150</v>
      </c>
      <c r="U188" s="381">
        <f>O191</f>
        <v>251130</v>
      </c>
      <c r="V188" s="381">
        <f>O192</f>
        <v>262600</v>
      </c>
      <c r="W188" s="338" t="s">
        <v>210</v>
      </c>
    </row>
    <row r="189" spans="1:23" ht="18" customHeight="1" outlineLevel="1" x14ac:dyDescent="0.25">
      <c r="A189" s="437"/>
      <c r="B189" s="377"/>
      <c r="C189" s="64"/>
      <c r="D189" s="379"/>
      <c r="E189" s="384"/>
      <c r="F189" s="61">
        <v>2022</v>
      </c>
      <c r="G189" s="343">
        <v>46</v>
      </c>
      <c r="H189" s="67" t="s">
        <v>60</v>
      </c>
      <c r="I189" s="343">
        <v>4600</v>
      </c>
      <c r="J189" s="67" t="s">
        <v>41</v>
      </c>
      <c r="K189" s="343">
        <f>ROUND((G189*I189),2)</f>
        <v>211600</v>
      </c>
      <c r="L189" s="67" t="s">
        <v>37</v>
      </c>
      <c r="M189" s="67"/>
      <c r="N189" s="67"/>
      <c r="O189" s="70">
        <f t="shared" ref="O189:O192" si="94">ROUNDUP((M189),-1)</f>
        <v>0</v>
      </c>
      <c r="P189" s="67"/>
      <c r="Q189" s="67"/>
      <c r="R189" s="65"/>
      <c r="S189" s="65"/>
      <c r="T189" s="381"/>
      <c r="U189" s="381"/>
      <c r="V189" s="381"/>
      <c r="W189" s="338"/>
    </row>
    <row r="190" spans="1:23" ht="19.5" customHeight="1" x14ac:dyDescent="0.25">
      <c r="A190" s="437"/>
      <c r="B190" s="377"/>
      <c r="C190" s="64"/>
      <c r="D190" s="379"/>
      <c r="E190" s="384"/>
      <c r="F190" s="68" t="str">
        <f>F14</f>
        <v>норматив на 2024 год :</v>
      </c>
      <c r="G190" s="343">
        <v>46</v>
      </c>
      <c r="H190" s="67" t="s">
        <v>333</v>
      </c>
      <c r="I190" s="278">
        <f>I189*1.0822*1.0487</f>
        <v>5220.5544439999994</v>
      </c>
      <c r="J190" s="67" t="s">
        <v>41</v>
      </c>
      <c r="K190" s="343">
        <f>ROUND((G190*I190),2)</f>
        <v>240145.5</v>
      </c>
      <c r="L190" s="67" t="s">
        <v>41</v>
      </c>
      <c r="M190" s="70">
        <f>ROUNDUP((K190),0)</f>
        <v>240146</v>
      </c>
      <c r="N190" s="71" t="s">
        <v>37</v>
      </c>
      <c r="O190" s="70">
        <f t="shared" si="94"/>
        <v>240150</v>
      </c>
      <c r="P190" s="67" t="s">
        <v>332</v>
      </c>
      <c r="Q190" s="72"/>
      <c r="R190" s="72"/>
      <c r="S190" s="65"/>
      <c r="T190" s="381"/>
      <c r="U190" s="381"/>
      <c r="V190" s="381"/>
      <c r="W190" s="338" t="str">
        <f>""&amp;TEXT($G$189,"0,0")&amp;" у.ед. х "&amp;TEXT(ROUND((I190),2),"0 000,00")&amp;" руб. = "&amp;TEXT(ROUND(($G$189*(ROUND((K190/$G$189),2))),2),"0 000,00")&amp;" руб. = "&amp;TEXT(O190,"0 000,00")&amp;" руб."</f>
        <v>46,0 у.ед. х 5 220,55 руб. = 240 145,30 руб. = 240 150,00 руб.</v>
      </c>
    </row>
    <row r="191" spans="1:23" ht="19.5" customHeight="1" x14ac:dyDescent="0.25">
      <c r="A191" s="437"/>
      <c r="B191" s="377"/>
      <c r="C191" s="64"/>
      <c r="D191" s="379"/>
      <c r="E191" s="384"/>
      <c r="F191" s="68" t="str">
        <f>F15</f>
        <v>норматив на 2025 год :</v>
      </c>
      <c r="G191" s="343">
        <f>G190</f>
        <v>46</v>
      </c>
      <c r="H191" s="67" t="s">
        <v>333</v>
      </c>
      <c r="I191" s="278">
        <f>I190*1.0457</f>
        <v>5459.1337820908002</v>
      </c>
      <c r="J191" s="67" t="s">
        <v>41</v>
      </c>
      <c r="K191" s="343">
        <f t="shared" ref="K191:K192" si="95">ROUND((G191*I191),2)</f>
        <v>251120.15</v>
      </c>
      <c r="L191" s="67" t="s">
        <v>41</v>
      </c>
      <c r="M191" s="70">
        <f t="shared" ref="M191:M192" si="96">ROUNDUP((K191),0)</f>
        <v>251121</v>
      </c>
      <c r="N191" s="71" t="s">
        <v>37</v>
      </c>
      <c r="O191" s="70">
        <f t="shared" si="94"/>
        <v>251130</v>
      </c>
      <c r="P191" s="67" t="s">
        <v>332</v>
      </c>
      <c r="Q191" s="72"/>
      <c r="R191" s="72"/>
      <c r="S191" s="65"/>
      <c r="T191" s="381"/>
      <c r="U191" s="381"/>
      <c r="V191" s="381"/>
      <c r="W191" s="338" t="str">
        <f>""&amp;TEXT($G$189,"0,0")&amp;" у.ед. х "&amp;TEXT(ROUND((I191),2),"0 000,00")&amp;" руб. = "&amp;TEXT(ROUND(($G$189*(ROUND((K191/$G$189),2))),2),"0 000,00")&amp;" руб. = "&amp;TEXT(O191,"0 000,00")&amp;" руб."</f>
        <v>46,0 у.ед. х 5 459,13 руб. = 251 119,98 руб. = 251 130,00 руб.</v>
      </c>
    </row>
    <row r="192" spans="1:23" ht="19.5" customHeight="1" x14ac:dyDescent="0.25">
      <c r="A192" s="437"/>
      <c r="B192" s="377"/>
      <c r="C192" s="64"/>
      <c r="D192" s="379"/>
      <c r="E192" s="384"/>
      <c r="F192" s="68" t="str">
        <f>F16</f>
        <v>норматив на 2026 год :</v>
      </c>
      <c r="G192" s="343">
        <f>G191</f>
        <v>46</v>
      </c>
      <c r="H192" s="67" t="s">
        <v>333</v>
      </c>
      <c r="I192" s="278">
        <f>I191*1.0457</f>
        <v>5708.6161959323499</v>
      </c>
      <c r="J192" s="67" t="s">
        <v>41</v>
      </c>
      <c r="K192" s="343">
        <f t="shared" si="95"/>
        <v>262596.34999999998</v>
      </c>
      <c r="L192" s="67" t="s">
        <v>41</v>
      </c>
      <c r="M192" s="70">
        <f t="shared" si="96"/>
        <v>262597</v>
      </c>
      <c r="N192" s="71" t="s">
        <v>37</v>
      </c>
      <c r="O192" s="70">
        <f t="shared" si="94"/>
        <v>262600</v>
      </c>
      <c r="P192" s="67" t="s">
        <v>332</v>
      </c>
      <c r="Q192" s="70"/>
      <c r="R192" s="71"/>
      <c r="S192" s="65"/>
      <c r="T192" s="382"/>
      <c r="U192" s="382"/>
      <c r="V192" s="382"/>
      <c r="W192" s="338" t="str">
        <f>""&amp;TEXT($G$189,"0,0")&amp;" у.ед. х "&amp;TEXT(ROUND((I192),2),"0 000,00")&amp;" руб. = "&amp;TEXT(ROUND(($G$189*(ROUND((K192/$G$189),2))),2),"0 000,00")&amp;" руб. = "&amp;TEXT(O192,"0 000,00")&amp;" руб."</f>
        <v>46,0 у.ед. х 5 708,62 руб. = 262 596,52 руб. = 262 600,00 руб.</v>
      </c>
    </row>
    <row r="193" spans="1:23" ht="121.5" customHeight="1" x14ac:dyDescent="0.25">
      <c r="A193" s="383" t="s">
        <v>21</v>
      </c>
      <c r="B193" s="376" t="s">
        <v>322</v>
      </c>
      <c r="C193" s="64"/>
      <c r="D193" s="378">
        <v>226</v>
      </c>
      <c r="E193" s="378">
        <v>244</v>
      </c>
      <c r="F193" s="380" t="s">
        <v>249</v>
      </c>
      <c r="G193" s="380"/>
      <c r="H193" s="380"/>
      <c r="I193" s="380"/>
      <c r="J193" s="380"/>
      <c r="K193" s="380"/>
      <c r="L193" s="380"/>
      <c r="M193" s="380"/>
      <c r="N193" s="380"/>
      <c r="O193" s="380"/>
      <c r="P193" s="380"/>
      <c r="Q193" s="380"/>
      <c r="R193" s="380"/>
      <c r="S193" s="65"/>
      <c r="T193" s="381">
        <f>O195</f>
        <v>1161010</v>
      </c>
      <c r="U193" s="381">
        <f>O196</f>
        <v>1214070</v>
      </c>
      <c r="V193" s="381">
        <f>O197</f>
        <v>1269550</v>
      </c>
      <c r="W193" s="338" t="s">
        <v>79</v>
      </c>
    </row>
    <row r="194" spans="1:23" ht="16.5" customHeight="1" outlineLevel="1" x14ac:dyDescent="0.25">
      <c r="A194" s="383"/>
      <c r="B194" s="377"/>
      <c r="C194" s="64"/>
      <c r="D194" s="379"/>
      <c r="E194" s="379"/>
      <c r="F194" s="61">
        <v>2022</v>
      </c>
      <c r="G194" s="343">
        <v>30</v>
      </c>
      <c r="H194" s="67" t="s">
        <v>66</v>
      </c>
      <c r="I194" s="343">
        <v>1</v>
      </c>
      <c r="J194" s="67" t="s">
        <v>336</v>
      </c>
      <c r="K194" s="343">
        <v>34100</v>
      </c>
      <c r="L194" s="67" t="s">
        <v>41</v>
      </c>
      <c r="M194" s="343">
        <f>ROUND((G194*I194*K194),2)</f>
        <v>1023000</v>
      </c>
      <c r="N194" s="67" t="s">
        <v>37</v>
      </c>
      <c r="O194" s="70">
        <f t="shared" ref="O194:O197" si="97">ROUNDUP((M194),-1)</f>
        <v>1023000</v>
      </c>
      <c r="P194" s="67"/>
      <c r="Q194" s="61"/>
      <c r="R194" s="65"/>
      <c r="S194" s="65"/>
      <c r="T194" s="381"/>
      <c r="U194" s="381"/>
      <c r="V194" s="381"/>
    </row>
    <row r="195" spans="1:23" ht="18.75" customHeight="1" x14ac:dyDescent="0.25">
      <c r="A195" s="383"/>
      <c r="B195" s="377"/>
      <c r="C195" s="64"/>
      <c r="D195" s="379"/>
      <c r="E195" s="379"/>
      <c r="F195" s="68" t="str">
        <f>F14</f>
        <v>норматив на 2024 год :</v>
      </c>
      <c r="G195" s="343">
        <f>G194</f>
        <v>30</v>
      </c>
      <c r="H195" s="67" t="s">
        <v>334</v>
      </c>
      <c r="I195" s="69">
        <v>1</v>
      </c>
      <c r="J195" s="67" t="s">
        <v>336</v>
      </c>
      <c r="K195" s="278">
        <f>K194*1.0822*1.0487</f>
        <v>38700.197074000003</v>
      </c>
      <c r="L195" s="67" t="s">
        <v>41</v>
      </c>
      <c r="M195" s="343">
        <f t="shared" ref="M195:M197" si="98">ROUND((G195*I195*K195),2)</f>
        <v>1161005.9099999999</v>
      </c>
      <c r="N195" s="67" t="s">
        <v>37</v>
      </c>
      <c r="O195" s="70">
        <f t="shared" si="97"/>
        <v>1161010</v>
      </c>
      <c r="P195" s="67" t="s">
        <v>332</v>
      </c>
      <c r="Q195" s="72"/>
      <c r="R195" s="72"/>
      <c r="S195" s="65"/>
      <c r="T195" s="382"/>
      <c r="U195" s="382"/>
      <c r="V195" s="382"/>
      <c r="W195" s="338" t="str">
        <f>""&amp;TEXT($G$194,"0,0")&amp;" чел. х "&amp;TEXT($I$194,"0,0")&amp;" раз х "&amp;TEXT(ROUND((M195/$G$194/$I$194),2),"0 000,00")&amp;" руб. = "&amp;TEXT(ROUND((($G$194*$I$194*ROUND((M195/$G$194/$I$194),2))),2),"0 000,00")&amp;" руб. = "&amp;TEXT(O195,"0 000,00")&amp;" руб."</f>
        <v>30,0 чел. х 1,0 раз х 38 700,20 руб. = 1 161 006,00 руб. = 1 161 010,00 руб.</v>
      </c>
    </row>
    <row r="196" spans="1:23" ht="18.75" customHeight="1" x14ac:dyDescent="0.25">
      <c r="A196" s="383"/>
      <c r="B196" s="377"/>
      <c r="C196" s="64"/>
      <c r="D196" s="379"/>
      <c r="E196" s="379"/>
      <c r="F196" s="68" t="str">
        <f>F15</f>
        <v>норматив на 2025 год :</v>
      </c>
      <c r="G196" s="343">
        <f>G195</f>
        <v>30</v>
      </c>
      <c r="H196" s="67" t="str">
        <f>H195</f>
        <v xml:space="preserve">чел. х индекс потребительских цен </v>
      </c>
      <c r="I196" s="69">
        <v>1</v>
      </c>
      <c r="J196" s="67" t="s">
        <v>336</v>
      </c>
      <c r="K196" s="278">
        <f>K195*1.0457</f>
        <v>40468.796080281805</v>
      </c>
      <c r="L196" s="67" t="s">
        <v>41</v>
      </c>
      <c r="M196" s="343">
        <f t="shared" si="98"/>
        <v>1214063.8799999999</v>
      </c>
      <c r="N196" s="67" t="s">
        <v>37</v>
      </c>
      <c r="O196" s="70">
        <f t="shared" si="97"/>
        <v>1214070</v>
      </c>
      <c r="P196" s="67" t="s">
        <v>332</v>
      </c>
      <c r="Q196" s="72"/>
      <c r="R196" s="72"/>
      <c r="S196" s="65"/>
      <c r="T196" s="382"/>
      <c r="U196" s="382"/>
      <c r="V196" s="382"/>
      <c r="W196" s="338" t="str">
        <f>""&amp;TEXT($G$194,"0,0")&amp;" чел. х "&amp;TEXT($I$194,"0,0")&amp;" раз х "&amp;TEXT(ROUND((M196/$G$194/$I$194),2),"0 000,00")&amp;" руб. = "&amp;TEXT(ROUND((($G$194*$I$194*ROUND((M196/$G$194/$I$194),2))),2),"0 000,00")&amp;" руб. = "&amp;TEXT(O196,"0 000,00")&amp;" руб."</f>
        <v>30,0 чел. х 1,0 раз х 40 468,80 руб. = 1 214 064,00 руб. = 1 214 070,00 руб.</v>
      </c>
    </row>
    <row r="197" spans="1:23" ht="18.75" customHeight="1" x14ac:dyDescent="0.25">
      <c r="A197" s="383"/>
      <c r="B197" s="377"/>
      <c r="C197" s="64"/>
      <c r="D197" s="379"/>
      <c r="E197" s="379"/>
      <c r="F197" s="68" t="str">
        <f>F16</f>
        <v>норматив на 2026 год :</v>
      </c>
      <c r="G197" s="343">
        <f>G196</f>
        <v>30</v>
      </c>
      <c r="H197" s="67" t="str">
        <f>H195</f>
        <v xml:space="preserve">чел. х индекс потребительских цен </v>
      </c>
      <c r="I197" s="69">
        <v>1</v>
      </c>
      <c r="J197" s="67" t="s">
        <v>336</v>
      </c>
      <c r="K197" s="278">
        <f>K196*1.0457</f>
        <v>42318.220061150685</v>
      </c>
      <c r="L197" s="67" t="s">
        <v>41</v>
      </c>
      <c r="M197" s="343">
        <f t="shared" si="98"/>
        <v>1269546.6000000001</v>
      </c>
      <c r="N197" s="67" t="s">
        <v>37</v>
      </c>
      <c r="O197" s="70">
        <f t="shared" si="97"/>
        <v>1269550</v>
      </c>
      <c r="P197" s="67" t="s">
        <v>332</v>
      </c>
      <c r="Q197" s="70"/>
      <c r="R197" s="71"/>
      <c r="S197" s="65"/>
      <c r="T197" s="382"/>
      <c r="U197" s="382"/>
      <c r="V197" s="382"/>
      <c r="W197" s="338" t="str">
        <f>""&amp;TEXT($G$194,"0,0")&amp;" чел. х "&amp;TEXT($I$194,"0,0")&amp;" раз х "&amp;TEXT(ROUND((M197/$G$194/$I$194),2),"0 000,00")&amp;" руб. = "&amp;TEXT(ROUND((($G$194*$I$194*ROUND((M197/$G$194/$I$194),2))),2),"0 000,00")&amp;" руб. = "&amp;TEXT(O197,"0 000,00")&amp;" руб."</f>
        <v>30,0 чел. х 1,0 раз х 42 318,22 руб. = 1 269 546,60 руб. = 1 269 550,00 руб.</v>
      </c>
    </row>
    <row r="198" spans="1:23" ht="90" x14ac:dyDescent="0.25">
      <c r="A198" s="383" t="s">
        <v>22</v>
      </c>
      <c r="B198" s="376" t="s">
        <v>96</v>
      </c>
      <c r="C198" s="64"/>
      <c r="D198" s="378">
        <v>226</v>
      </c>
      <c r="E198" s="378">
        <v>244</v>
      </c>
      <c r="F198" s="380" t="s">
        <v>249</v>
      </c>
      <c r="G198" s="380"/>
      <c r="H198" s="380"/>
      <c r="I198" s="380"/>
      <c r="J198" s="380"/>
      <c r="K198" s="380"/>
      <c r="L198" s="380"/>
      <c r="M198" s="380"/>
      <c r="N198" s="380"/>
      <c r="O198" s="380"/>
      <c r="P198" s="380"/>
      <c r="Q198" s="380"/>
      <c r="R198" s="380"/>
      <c r="S198" s="65"/>
      <c r="T198" s="381">
        <f>O200</f>
        <v>4910</v>
      </c>
      <c r="U198" s="381">
        <f>O201</f>
        <v>5130</v>
      </c>
      <c r="V198" s="381">
        <f>O202</f>
        <v>5370</v>
      </c>
      <c r="W198" s="338" t="s">
        <v>174</v>
      </c>
    </row>
    <row r="199" spans="1:23" ht="17.25" customHeight="1" outlineLevel="1" x14ac:dyDescent="0.25">
      <c r="A199" s="383"/>
      <c r="B199" s="377"/>
      <c r="C199" s="64"/>
      <c r="D199" s="379"/>
      <c r="E199" s="379"/>
      <c r="F199" s="61">
        <v>2022</v>
      </c>
      <c r="G199" s="343">
        <v>2</v>
      </c>
      <c r="H199" s="67" t="s">
        <v>80</v>
      </c>
      <c r="I199" s="343">
        <v>2160.92</v>
      </c>
      <c r="J199" s="67" t="s">
        <v>41</v>
      </c>
      <c r="K199" s="343">
        <f>I199*G199</f>
        <v>4321.84</v>
      </c>
      <c r="L199" s="67" t="s">
        <v>37</v>
      </c>
      <c r="M199" s="67"/>
      <c r="N199" s="67"/>
      <c r="O199" s="70">
        <f t="shared" ref="O199:O202" si="99">ROUNDUP((M199),-1)</f>
        <v>0</v>
      </c>
      <c r="P199" s="67"/>
      <c r="Q199" s="67"/>
      <c r="R199" s="65"/>
      <c r="S199" s="65"/>
      <c r="T199" s="381"/>
      <c r="U199" s="381"/>
      <c r="V199" s="381"/>
      <c r="W199" s="338"/>
    </row>
    <row r="200" spans="1:23" ht="19.5" customHeight="1" x14ac:dyDescent="0.25">
      <c r="A200" s="383"/>
      <c r="B200" s="377"/>
      <c r="C200" s="64"/>
      <c r="D200" s="379"/>
      <c r="E200" s="379"/>
      <c r="F200" s="68" t="str">
        <f>F14</f>
        <v>норматив на 2024 год :</v>
      </c>
      <c r="G200" s="343">
        <v>2</v>
      </c>
      <c r="H200" s="67" t="s">
        <v>80</v>
      </c>
      <c r="I200" s="278">
        <f>I199*1.0822*1.0487</f>
        <v>2452.4348932888001</v>
      </c>
      <c r="J200" s="67" t="s">
        <v>41</v>
      </c>
      <c r="K200" s="343">
        <f t="shared" ref="K200:K202" si="100">I200*G200</f>
        <v>4904.8697865776003</v>
      </c>
      <c r="L200" s="67" t="s">
        <v>41</v>
      </c>
      <c r="M200" s="70">
        <f>ROUNDUP((K200),0)</f>
        <v>4905</v>
      </c>
      <c r="N200" s="71" t="s">
        <v>37</v>
      </c>
      <c r="O200" s="70">
        <f t="shared" si="99"/>
        <v>4910</v>
      </c>
      <c r="P200" s="71" t="s">
        <v>37</v>
      </c>
      <c r="Q200" s="70"/>
      <c r="R200" s="72"/>
      <c r="S200" s="65"/>
      <c r="T200" s="382"/>
      <c r="U200" s="382"/>
      <c r="V200" s="382"/>
      <c r="W200" s="338" t="str">
        <f>""&amp;TEXT($G$199,"0,0")&amp;" ед. х "&amp;TEXT(ROUND((I200),2),"0 000,00")&amp;" руб. = "&amp;TEXT(ROUND(((ROUND((M200),2))),2),"0 000,00")&amp;" руб. = "&amp;TEXT(O200,"0 000,00")&amp;" руб."</f>
        <v>2,0 ед. х 2 452,43 руб. = 4 905,00 руб. = 4 910,00 руб.</v>
      </c>
    </row>
    <row r="201" spans="1:23" ht="19.5" customHeight="1" x14ac:dyDescent="0.25">
      <c r="A201" s="383"/>
      <c r="B201" s="377"/>
      <c r="C201" s="64"/>
      <c r="D201" s="379"/>
      <c r="E201" s="379"/>
      <c r="F201" s="68" t="str">
        <f>F15</f>
        <v>норматив на 2025 год :</v>
      </c>
      <c r="G201" s="343">
        <v>2</v>
      </c>
      <c r="H201" s="67" t="s">
        <v>80</v>
      </c>
      <c r="I201" s="278">
        <f>I200*1.0457</f>
        <v>2564.5111679120987</v>
      </c>
      <c r="J201" s="67" t="s">
        <v>41</v>
      </c>
      <c r="K201" s="343">
        <f t="shared" si="100"/>
        <v>5129.0223358241974</v>
      </c>
      <c r="L201" s="67" t="s">
        <v>41</v>
      </c>
      <c r="M201" s="70">
        <f t="shared" ref="M201:M202" si="101">ROUNDUP((K201),0)</f>
        <v>5130</v>
      </c>
      <c r="N201" s="71" t="s">
        <v>37</v>
      </c>
      <c r="O201" s="70">
        <f t="shared" si="99"/>
        <v>5130</v>
      </c>
      <c r="P201" s="71" t="s">
        <v>37</v>
      </c>
      <c r="Q201" s="70"/>
      <c r="R201" s="72"/>
      <c r="S201" s="65"/>
      <c r="T201" s="382"/>
      <c r="U201" s="382"/>
      <c r="V201" s="382"/>
      <c r="W201" s="338" t="str">
        <f t="shared" ref="W201:W202" si="102">""&amp;TEXT($G$199,"0,0")&amp;" ед. х "&amp;TEXT(ROUND((I201),2),"0 000,00")&amp;" руб. = "&amp;TEXT(ROUND(((ROUND((M201),2))),2),"0 000,00")&amp;" руб. = "&amp;TEXT(O201,"0 000,00")&amp;" руб."</f>
        <v>2,0 ед. х 2 564,51 руб. = 5 130,00 руб. = 5 130,00 руб.</v>
      </c>
    </row>
    <row r="202" spans="1:23" ht="19.5" customHeight="1" x14ac:dyDescent="0.25">
      <c r="A202" s="383"/>
      <c r="B202" s="377"/>
      <c r="C202" s="64"/>
      <c r="D202" s="379"/>
      <c r="E202" s="379"/>
      <c r="F202" s="68" t="str">
        <f>F16</f>
        <v>норматив на 2026 год :</v>
      </c>
      <c r="G202" s="343">
        <v>2</v>
      </c>
      <c r="H202" s="67" t="s">
        <v>80</v>
      </c>
      <c r="I202" s="278">
        <f>I201*1.0457</f>
        <v>2681.7093282856817</v>
      </c>
      <c r="J202" s="67" t="s">
        <v>41</v>
      </c>
      <c r="K202" s="343">
        <f t="shared" si="100"/>
        <v>5363.4186565713635</v>
      </c>
      <c r="L202" s="67" t="s">
        <v>41</v>
      </c>
      <c r="M202" s="70">
        <f t="shared" si="101"/>
        <v>5364</v>
      </c>
      <c r="N202" s="71" t="s">
        <v>37</v>
      </c>
      <c r="O202" s="70">
        <f t="shared" si="99"/>
        <v>5370</v>
      </c>
      <c r="P202" s="71" t="s">
        <v>37</v>
      </c>
      <c r="Q202" s="70"/>
      <c r="R202" s="71"/>
      <c r="S202" s="65"/>
      <c r="T202" s="382"/>
      <c r="U202" s="382"/>
      <c r="V202" s="382"/>
      <c r="W202" s="338" t="str">
        <f t="shared" si="102"/>
        <v>2,0 ед. х 2 681,71 руб. = 5 364,00 руб. = 5 370,00 руб.</v>
      </c>
    </row>
    <row r="203" spans="1:23" ht="90" x14ac:dyDescent="0.25">
      <c r="A203" s="388" t="s">
        <v>190</v>
      </c>
      <c r="B203" s="391" t="s">
        <v>191</v>
      </c>
      <c r="C203" s="64"/>
      <c r="D203" s="394">
        <v>226</v>
      </c>
      <c r="E203" s="394">
        <v>244</v>
      </c>
      <c r="F203" s="380" t="s">
        <v>358</v>
      </c>
      <c r="G203" s="380"/>
      <c r="H203" s="380"/>
      <c r="I203" s="380"/>
      <c r="J203" s="380"/>
      <c r="K203" s="380"/>
      <c r="L203" s="380"/>
      <c r="M203" s="380"/>
      <c r="N203" s="380"/>
      <c r="O203" s="380"/>
      <c r="P203" s="380"/>
      <c r="Q203" s="380"/>
      <c r="R203" s="380"/>
      <c r="S203" s="65"/>
      <c r="T203" s="385">
        <f>O205</f>
        <v>2453960</v>
      </c>
      <c r="U203" s="385">
        <f>O206</f>
        <v>2566110</v>
      </c>
      <c r="V203" s="385">
        <f>O207</f>
        <v>2683380</v>
      </c>
      <c r="W203" s="338" t="s">
        <v>337</v>
      </c>
    </row>
    <row r="204" spans="1:23" ht="21" customHeight="1" x14ac:dyDescent="0.25">
      <c r="A204" s="389"/>
      <c r="B204" s="392"/>
      <c r="C204" s="64"/>
      <c r="D204" s="395"/>
      <c r="E204" s="395"/>
      <c r="F204" s="61"/>
      <c r="G204" s="343">
        <v>3000</v>
      </c>
      <c r="H204" s="67" t="s">
        <v>195</v>
      </c>
      <c r="I204" s="343"/>
      <c r="J204" s="67" t="s">
        <v>41</v>
      </c>
      <c r="K204" s="69"/>
      <c r="L204" s="67" t="s">
        <v>37</v>
      </c>
      <c r="M204" s="343"/>
      <c r="N204" s="67"/>
      <c r="O204" s="70">
        <f t="shared" ref="O204:O207" si="103">ROUNDUP((M204),-1)</f>
        <v>0</v>
      </c>
      <c r="P204" s="71"/>
      <c r="Q204" s="72"/>
      <c r="R204" s="72"/>
      <c r="S204" s="65"/>
      <c r="T204" s="386"/>
      <c r="U204" s="386"/>
      <c r="V204" s="386"/>
      <c r="W204" s="338"/>
    </row>
    <row r="205" spans="1:23" ht="23.25" customHeight="1" x14ac:dyDescent="0.25">
      <c r="A205" s="389"/>
      <c r="B205" s="392"/>
      <c r="C205" s="64"/>
      <c r="D205" s="395"/>
      <c r="E205" s="395"/>
      <c r="F205" s="68" t="str">
        <f>F14</f>
        <v>норматив на 2024 год :</v>
      </c>
      <c r="G205" s="343">
        <v>3000</v>
      </c>
      <c r="H205" s="67" t="s">
        <v>195</v>
      </c>
      <c r="I205" s="278">
        <f>780*1.0487</f>
        <v>817.98599999999999</v>
      </c>
      <c r="J205" s="67" t="s">
        <v>41</v>
      </c>
      <c r="K205" s="343">
        <f t="shared" ref="K205:K207" si="104">I205*G205</f>
        <v>2453958</v>
      </c>
      <c r="L205" s="67" t="s">
        <v>37</v>
      </c>
      <c r="M205" s="70">
        <f>ROUNDUP((K205),0)</f>
        <v>2453958</v>
      </c>
      <c r="N205" s="71" t="s">
        <v>37</v>
      </c>
      <c r="O205" s="70">
        <f t="shared" si="103"/>
        <v>2453960</v>
      </c>
      <c r="P205" s="71" t="s">
        <v>37</v>
      </c>
      <c r="Q205" s="70"/>
      <c r="R205" s="72"/>
      <c r="S205" s="65"/>
      <c r="T205" s="386"/>
      <c r="U205" s="386"/>
      <c r="V205" s="386"/>
      <c r="W205" s="338" t="str">
        <f>""&amp;TEXT($G$206,"0,0")&amp;" ед. х "&amp;TEXT(ROUND((I205),2)," 000,00")&amp;" руб. = "&amp;TEXT(ROUND(((ROUND((G205*I205),2))),2),"0 000,00")&amp;" руб. = "&amp;TEXT(O205,"0 000,00")&amp;" руб."</f>
        <v>3000,0 ед. х  817,99 руб. = 2 453 958,00 руб. = 2 453 960,00 руб.</v>
      </c>
    </row>
    <row r="206" spans="1:23" ht="21" customHeight="1" x14ac:dyDescent="0.25">
      <c r="A206" s="389"/>
      <c r="B206" s="392"/>
      <c r="C206" s="64"/>
      <c r="D206" s="395"/>
      <c r="E206" s="395"/>
      <c r="F206" s="68" t="str">
        <f>F15</f>
        <v>норматив на 2025 год :</v>
      </c>
      <c r="G206" s="343">
        <v>3000</v>
      </c>
      <c r="H206" s="67" t="s">
        <v>195</v>
      </c>
      <c r="I206" s="278">
        <f>I205*1.0457</f>
        <v>855.36796020000008</v>
      </c>
      <c r="J206" s="67" t="s">
        <v>41</v>
      </c>
      <c r="K206" s="343">
        <f t="shared" si="104"/>
        <v>2566103.8806000003</v>
      </c>
      <c r="L206" s="67" t="s">
        <v>37</v>
      </c>
      <c r="M206" s="70">
        <f t="shared" ref="M206:M207" si="105">ROUNDUP((K206),0)</f>
        <v>2566104</v>
      </c>
      <c r="N206" s="71" t="s">
        <v>37</v>
      </c>
      <c r="O206" s="70">
        <f t="shared" si="103"/>
        <v>2566110</v>
      </c>
      <c r="P206" s="71" t="s">
        <v>37</v>
      </c>
      <c r="Q206" s="70"/>
      <c r="R206" s="72"/>
      <c r="S206" s="65"/>
      <c r="T206" s="386"/>
      <c r="U206" s="386"/>
      <c r="V206" s="386"/>
      <c r="W206" s="338" t="str">
        <f t="shared" ref="W206:W207" si="106">""&amp;TEXT($G$206,"0,0")&amp;" ед. х "&amp;TEXT(ROUND((I206),2)," 000,00")&amp;" руб. = "&amp;TEXT(ROUND(((ROUND((G206*I206),2))),2),"0 000,00")&amp;" руб. = "&amp;TEXT(O206,"0 000,00")&amp;" руб."</f>
        <v>3000,0 ед. х  855,37 руб. = 2 566 103,88 руб. = 2 566 110,00 руб.</v>
      </c>
    </row>
    <row r="207" spans="1:23" ht="21" customHeight="1" x14ac:dyDescent="0.25">
      <c r="A207" s="390"/>
      <c r="B207" s="393"/>
      <c r="C207" s="64"/>
      <c r="D207" s="396"/>
      <c r="E207" s="396"/>
      <c r="F207" s="68" t="str">
        <f>F16</f>
        <v>норматив на 2026 год :</v>
      </c>
      <c r="G207" s="343">
        <v>3000</v>
      </c>
      <c r="H207" s="67" t="s">
        <v>195</v>
      </c>
      <c r="I207" s="278">
        <f>I206*1.0457</f>
        <v>894.4582759811401</v>
      </c>
      <c r="J207" s="67" t="s">
        <v>41</v>
      </c>
      <c r="K207" s="343">
        <f t="shared" si="104"/>
        <v>2683374.8279434205</v>
      </c>
      <c r="L207" s="67" t="s">
        <v>37</v>
      </c>
      <c r="M207" s="70">
        <f t="shared" si="105"/>
        <v>2683375</v>
      </c>
      <c r="N207" s="71" t="s">
        <v>37</v>
      </c>
      <c r="O207" s="70">
        <f t="shared" si="103"/>
        <v>2683380</v>
      </c>
      <c r="P207" s="71" t="s">
        <v>37</v>
      </c>
      <c r="Q207" s="70"/>
      <c r="R207" s="71"/>
      <c r="S207" s="65"/>
      <c r="T207" s="387"/>
      <c r="U207" s="387"/>
      <c r="V207" s="387"/>
      <c r="W207" s="338" t="str">
        <f t="shared" si="106"/>
        <v>3000,0 ед. х  894,46 руб. = 2 683 374,83 руб. = 2 683 380,00 руб.</v>
      </c>
    </row>
    <row r="208" spans="1:23" ht="93.75" customHeight="1" x14ac:dyDescent="0.25">
      <c r="A208" s="388" t="s">
        <v>327</v>
      </c>
      <c r="B208" s="391" t="s">
        <v>328</v>
      </c>
      <c r="C208" s="64"/>
      <c r="D208" s="394">
        <v>226</v>
      </c>
      <c r="E208" s="394">
        <v>244</v>
      </c>
      <c r="F208" s="380" t="s">
        <v>249</v>
      </c>
      <c r="G208" s="380"/>
      <c r="H208" s="380"/>
      <c r="I208" s="380"/>
      <c r="J208" s="380"/>
      <c r="K208" s="380"/>
      <c r="L208" s="380"/>
      <c r="M208" s="380"/>
      <c r="N208" s="380"/>
      <c r="O208" s="380"/>
      <c r="P208" s="380"/>
      <c r="Q208" s="380"/>
      <c r="R208" s="380"/>
      <c r="S208" s="65"/>
      <c r="T208" s="385">
        <f>O210</f>
        <v>77370</v>
      </c>
      <c r="U208" s="385">
        <f>O211</f>
        <v>80900</v>
      </c>
      <c r="V208" s="385">
        <f>O212</f>
        <v>84600</v>
      </c>
      <c r="W208" s="338" t="s">
        <v>329</v>
      </c>
    </row>
    <row r="209" spans="1:23" ht="21" customHeight="1" x14ac:dyDescent="0.25">
      <c r="A209" s="389"/>
      <c r="B209" s="392"/>
      <c r="C209" s="64"/>
      <c r="D209" s="395"/>
      <c r="E209" s="395"/>
      <c r="F209" s="61">
        <v>2022</v>
      </c>
      <c r="G209" s="343">
        <v>1</v>
      </c>
      <c r="H209" s="67" t="s">
        <v>231</v>
      </c>
      <c r="I209" s="343">
        <f>ROUNDUP((68166.67/G209),2)</f>
        <v>68166.67</v>
      </c>
      <c r="J209" s="67" t="s">
        <v>41</v>
      </c>
      <c r="K209" s="343">
        <f t="shared" ref="K209:K212" si="107">I209*G209</f>
        <v>68166.67</v>
      </c>
      <c r="L209" s="67" t="s">
        <v>37</v>
      </c>
      <c r="M209" s="67"/>
      <c r="N209" s="67"/>
      <c r="O209" s="70">
        <f t="shared" ref="O209:O212" si="108">ROUNDUP((M209),-1)</f>
        <v>0</v>
      </c>
      <c r="P209" s="67"/>
      <c r="Q209" s="67"/>
      <c r="R209" s="65"/>
      <c r="S209" s="65"/>
      <c r="T209" s="386"/>
      <c r="U209" s="386"/>
      <c r="V209" s="386"/>
      <c r="W209" s="338"/>
    </row>
    <row r="210" spans="1:23" ht="21" customHeight="1" x14ac:dyDescent="0.25">
      <c r="A210" s="389"/>
      <c r="B210" s="392"/>
      <c r="C210" s="64"/>
      <c r="D210" s="395"/>
      <c r="E210" s="395"/>
      <c r="F210" s="68" t="s">
        <v>193</v>
      </c>
      <c r="G210" s="343">
        <v>1</v>
      </c>
      <c r="H210" s="65" t="s">
        <v>271</v>
      </c>
      <c r="I210" s="278">
        <f>I209*1.0822*1.0487</f>
        <v>77362.567826343802</v>
      </c>
      <c r="J210" s="67" t="s">
        <v>41</v>
      </c>
      <c r="K210" s="343">
        <f t="shared" si="107"/>
        <v>77362.567826343802</v>
      </c>
      <c r="L210" s="67" t="s">
        <v>41</v>
      </c>
      <c r="M210" s="70">
        <f>ROUNDUP((K210),0)</f>
        <v>77363</v>
      </c>
      <c r="N210" s="71" t="s">
        <v>37</v>
      </c>
      <c r="O210" s="70">
        <f t="shared" si="108"/>
        <v>77370</v>
      </c>
      <c r="P210" s="67" t="s">
        <v>332</v>
      </c>
      <c r="Q210" s="72"/>
      <c r="R210" s="72"/>
      <c r="S210" s="65"/>
      <c r="T210" s="386"/>
      <c r="U210" s="386"/>
      <c r="V210" s="386"/>
      <c r="W210" s="338" t="str">
        <f>""&amp;TEXT(G210,"0,0")&amp;" ед. х "&amp;TEXT(ROUND((K210/G210),2),"0,00")&amp;" руб. = "&amp;TEXT(ROUND((G210*(ROUND((K210/G210),2))),2),"0 000,00")&amp;" руб. = "&amp;TEXT(O210,"0 000,00")&amp;" руб."</f>
        <v>1,0 ед. х 77362,57 руб. = 77 362,57 руб. = 77 370,00 руб.</v>
      </c>
    </row>
    <row r="211" spans="1:23" ht="21" customHeight="1" x14ac:dyDescent="0.25">
      <c r="A211" s="389"/>
      <c r="B211" s="392"/>
      <c r="C211" s="64"/>
      <c r="D211" s="395"/>
      <c r="E211" s="395"/>
      <c r="F211" s="68" t="s">
        <v>226</v>
      </c>
      <c r="G211" s="343">
        <v>1</v>
      </c>
      <c r="H211" s="67" t="str">
        <f>H210</f>
        <v>ед. х средняя цена с индексом потребительских цен</v>
      </c>
      <c r="I211" s="278">
        <f>I210*1.0457</f>
        <v>80898.037176007725</v>
      </c>
      <c r="J211" s="67" t="s">
        <v>41</v>
      </c>
      <c r="K211" s="343">
        <f t="shared" si="107"/>
        <v>80898.037176007725</v>
      </c>
      <c r="L211" s="67" t="s">
        <v>41</v>
      </c>
      <c r="M211" s="70">
        <f t="shared" ref="M211:M212" si="109">ROUNDUP((K211),0)</f>
        <v>80899</v>
      </c>
      <c r="N211" s="71" t="s">
        <v>37</v>
      </c>
      <c r="O211" s="70">
        <f t="shared" si="108"/>
        <v>80900</v>
      </c>
      <c r="P211" s="67" t="s">
        <v>332</v>
      </c>
      <c r="Q211" s="72"/>
      <c r="R211" s="72"/>
      <c r="S211" s="65"/>
      <c r="T211" s="386"/>
      <c r="U211" s="386"/>
      <c r="V211" s="386"/>
      <c r="W211" s="338" t="str">
        <f>""&amp;TEXT(G211,"0,0")&amp;" ед. х "&amp;TEXT(ROUND((K211/G211),2),"0,00")&amp;" руб. = "&amp;TEXT(ROUND((G211*(ROUND((K211/G211),2))),2),"0 000,00")&amp;" руб. = "&amp;TEXT(O211,"0 000,00")&amp;" руб."</f>
        <v>1,0 ед. х 80898,04 руб. = 80 898,04 руб. = 80 900,00 руб.</v>
      </c>
    </row>
    <row r="212" spans="1:23" ht="21" customHeight="1" x14ac:dyDescent="0.25">
      <c r="A212" s="390"/>
      <c r="B212" s="393"/>
      <c r="C212" s="64"/>
      <c r="D212" s="396"/>
      <c r="E212" s="396"/>
      <c r="F212" s="68" t="s">
        <v>240</v>
      </c>
      <c r="G212" s="343">
        <v>1</v>
      </c>
      <c r="H212" s="67" t="str">
        <f>H210</f>
        <v>ед. х средняя цена с индексом потребительских цен</v>
      </c>
      <c r="I212" s="278">
        <f>I211*1.0457</f>
        <v>84595.077474951278</v>
      </c>
      <c r="J212" s="67" t="s">
        <v>41</v>
      </c>
      <c r="K212" s="343">
        <f t="shared" si="107"/>
        <v>84595.077474951278</v>
      </c>
      <c r="L212" s="67" t="s">
        <v>41</v>
      </c>
      <c r="M212" s="70">
        <f t="shared" si="109"/>
        <v>84596</v>
      </c>
      <c r="N212" s="71" t="s">
        <v>37</v>
      </c>
      <c r="O212" s="70">
        <f t="shared" si="108"/>
        <v>84600</v>
      </c>
      <c r="P212" s="67" t="s">
        <v>332</v>
      </c>
      <c r="Q212" s="72"/>
      <c r="R212" s="72"/>
      <c r="S212" s="65"/>
      <c r="T212" s="387"/>
      <c r="U212" s="387"/>
      <c r="V212" s="387"/>
      <c r="W212" s="338" t="str">
        <f>""&amp;TEXT(G212,"0,0")&amp;" ед. х "&amp;TEXT(ROUND((K212/G212),2),"0,00")&amp;" руб. = "&amp;TEXT(ROUND((G212*(ROUND((K212/G212),2))),2),"0 000,00")&amp;" руб. = "&amp;TEXT(O212,"0 000,00")&amp;" руб."</f>
        <v>1,0 ед. х 84595,08 руб. = 84 595,08 руб. = 84 600,00 руб.</v>
      </c>
    </row>
    <row r="213" spans="1:23" ht="93.75" customHeight="1" x14ac:dyDescent="0.25">
      <c r="A213" s="388" t="s">
        <v>356</v>
      </c>
      <c r="B213" s="391" t="s">
        <v>357</v>
      </c>
      <c r="C213" s="64"/>
      <c r="D213" s="394">
        <v>226</v>
      </c>
      <c r="E213" s="394">
        <v>244</v>
      </c>
      <c r="F213" s="380" t="s">
        <v>358</v>
      </c>
      <c r="G213" s="380"/>
      <c r="H213" s="380"/>
      <c r="I213" s="380"/>
      <c r="J213" s="380"/>
      <c r="K213" s="380"/>
      <c r="L213" s="380"/>
      <c r="M213" s="380"/>
      <c r="N213" s="380"/>
      <c r="O213" s="380"/>
      <c r="P213" s="380"/>
      <c r="Q213" s="380"/>
      <c r="R213" s="380"/>
      <c r="S213" s="65"/>
      <c r="T213" s="385">
        <f>O215</f>
        <v>134030</v>
      </c>
      <c r="U213" s="385">
        <f>O216</f>
        <v>140150</v>
      </c>
      <c r="V213" s="385">
        <f>O217</f>
        <v>146560</v>
      </c>
      <c r="W213" s="338" t="s">
        <v>368</v>
      </c>
    </row>
    <row r="214" spans="1:23" ht="21" customHeight="1" x14ac:dyDescent="0.25">
      <c r="A214" s="389"/>
      <c r="B214" s="392"/>
      <c r="C214" s="64"/>
      <c r="D214" s="395"/>
      <c r="E214" s="395"/>
      <c r="F214" s="61">
        <v>2023</v>
      </c>
      <c r="G214" s="343">
        <v>213</v>
      </c>
      <c r="H214" s="67" t="s">
        <v>231</v>
      </c>
      <c r="I214" s="343"/>
      <c r="J214" s="67" t="s">
        <v>41</v>
      </c>
      <c r="K214" s="343">
        <f t="shared" ref="K214:K217" si="110">I214*G214</f>
        <v>0</v>
      </c>
      <c r="L214" s="67" t="s">
        <v>37</v>
      </c>
      <c r="M214" s="67"/>
      <c r="N214" s="67"/>
      <c r="O214" s="70">
        <f t="shared" ref="O214:O217" si="111">ROUNDUP((M214),-1)</f>
        <v>0</v>
      </c>
      <c r="P214" s="67"/>
      <c r="Q214" s="67"/>
      <c r="R214" s="65"/>
      <c r="S214" s="65"/>
      <c r="T214" s="386"/>
      <c r="U214" s="386"/>
      <c r="V214" s="386"/>
      <c r="W214" s="338"/>
    </row>
    <row r="215" spans="1:23" ht="21" customHeight="1" x14ac:dyDescent="0.25">
      <c r="A215" s="389"/>
      <c r="B215" s="392"/>
      <c r="C215" s="64"/>
      <c r="D215" s="395"/>
      <c r="E215" s="395"/>
      <c r="F215" s="68">
        <f>F9</f>
        <v>0</v>
      </c>
      <c r="G215" s="343">
        <f>G214</f>
        <v>213</v>
      </c>
      <c r="H215" s="65" t="s">
        <v>271</v>
      </c>
      <c r="I215" s="278">
        <f>600*1.0487</f>
        <v>629.22</v>
      </c>
      <c r="J215" s="67" t="s">
        <v>41</v>
      </c>
      <c r="K215" s="343">
        <f t="shared" si="110"/>
        <v>134023.86000000002</v>
      </c>
      <c r="L215" s="67" t="s">
        <v>41</v>
      </c>
      <c r="M215" s="70">
        <f>ROUNDUP((K215),0)</f>
        <v>134024</v>
      </c>
      <c r="N215" s="71" t="s">
        <v>37</v>
      </c>
      <c r="O215" s="70">
        <f t="shared" si="111"/>
        <v>134030</v>
      </c>
      <c r="P215" s="67" t="s">
        <v>332</v>
      </c>
      <c r="Q215" s="72"/>
      <c r="R215" s="72"/>
      <c r="S215" s="65"/>
      <c r="T215" s="386"/>
      <c r="U215" s="386"/>
      <c r="V215" s="386"/>
      <c r="W215" s="338" t="str">
        <f>""&amp;TEXT(G215,"0,0")&amp;" ед. х "&amp;TEXT(ROUND((K215/G215),2),"0,00")&amp;" руб. = "&amp;TEXT(ROUND((G215*(ROUND((K215/G215),2))),2),"0 000,00")&amp;" руб. = "&amp;TEXT(O215,"0 000,00")&amp;" руб."</f>
        <v>213,0 ед. х 629,22 руб. = 134 023,86 руб. = 134 030,00 руб.</v>
      </c>
    </row>
    <row r="216" spans="1:23" ht="21" customHeight="1" x14ac:dyDescent="0.25">
      <c r="A216" s="389"/>
      <c r="B216" s="392"/>
      <c r="C216" s="64"/>
      <c r="D216" s="395"/>
      <c r="E216" s="395"/>
      <c r="F216" s="68">
        <f>F10</f>
        <v>0</v>
      </c>
      <c r="G216" s="343">
        <f>G214</f>
        <v>213</v>
      </c>
      <c r="H216" s="67" t="str">
        <f>H215</f>
        <v>ед. х средняя цена с индексом потребительских цен</v>
      </c>
      <c r="I216" s="278">
        <f>I215*1.0457</f>
        <v>657.97535400000004</v>
      </c>
      <c r="J216" s="67" t="s">
        <v>41</v>
      </c>
      <c r="K216" s="343">
        <f t="shared" si="110"/>
        <v>140148.75040200001</v>
      </c>
      <c r="L216" s="67" t="s">
        <v>41</v>
      </c>
      <c r="M216" s="70">
        <f t="shared" ref="M216:M217" si="112">ROUNDUP((K216),0)</f>
        <v>140149</v>
      </c>
      <c r="N216" s="71" t="s">
        <v>37</v>
      </c>
      <c r="O216" s="70">
        <f t="shared" si="111"/>
        <v>140150</v>
      </c>
      <c r="P216" s="67" t="s">
        <v>332</v>
      </c>
      <c r="Q216" s="72"/>
      <c r="R216" s="72"/>
      <c r="S216" s="65"/>
      <c r="T216" s="386"/>
      <c r="U216" s="386"/>
      <c r="V216" s="386"/>
      <c r="W216" s="338" t="str">
        <f>""&amp;TEXT(G216,"0,0")&amp;" ед. х "&amp;TEXT(ROUND((K216/G216),2),"0,00")&amp;" руб. = "&amp;TEXT(ROUND((G216*(ROUND((K216/G216),2))),2),"0 000,00")&amp;" руб. = "&amp;TEXT(O216,"0 000,00")&amp;" руб."</f>
        <v>213,0 ед. х 657,98 руб. = 140 149,74 руб. = 140 150,00 руб.</v>
      </c>
    </row>
    <row r="217" spans="1:23" ht="21" customHeight="1" x14ac:dyDescent="0.25">
      <c r="A217" s="390"/>
      <c r="B217" s="393"/>
      <c r="C217" s="64"/>
      <c r="D217" s="396"/>
      <c r="E217" s="396"/>
      <c r="F217" s="68">
        <f>F11</f>
        <v>0</v>
      </c>
      <c r="G217" s="343">
        <f>G214</f>
        <v>213</v>
      </c>
      <c r="H217" s="67" t="str">
        <f>H215</f>
        <v>ед. х средняя цена с индексом потребительских цен</v>
      </c>
      <c r="I217" s="278">
        <f>I216*1.0457</f>
        <v>688.04482767780007</v>
      </c>
      <c r="J217" s="67" t="s">
        <v>41</v>
      </c>
      <c r="K217" s="343">
        <f t="shared" si="110"/>
        <v>146553.54829537141</v>
      </c>
      <c r="L217" s="67" t="s">
        <v>41</v>
      </c>
      <c r="M217" s="70">
        <f t="shared" si="112"/>
        <v>146554</v>
      </c>
      <c r="N217" s="71" t="s">
        <v>37</v>
      </c>
      <c r="O217" s="70">
        <f t="shared" si="111"/>
        <v>146560</v>
      </c>
      <c r="P217" s="67" t="s">
        <v>332</v>
      </c>
      <c r="Q217" s="72"/>
      <c r="R217" s="72"/>
      <c r="S217" s="65"/>
      <c r="T217" s="387"/>
      <c r="U217" s="387"/>
      <c r="V217" s="387"/>
      <c r="W217" s="338" t="str">
        <f>""&amp;TEXT(G217,"0,0")&amp;" ед. х "&amp;TEXT(ROUND((K217/G217),2),"0,00")&amp;" руб. = "&amp;TEXT(ROUND((G217*(ROUND((K217/G217),2))),2),"0 000,00")&amp;" руб. = "&amp;TEXT(O217,"0 000,00")&amp;" руб."</f>
        <v>213,0 ед. х 688,04 руб. = 146 552,52 руб. = 146 560,00 руб.</v>
      </c>
    </row>
    <row r="218" spans="1:23" ht="93.75" customHeight="1" x14ac:dyDescent="0.25">
      <c r="A218" s="388" t="s">
        <v>366</v>
      </c>
      <c r="B218" s="391" t="s">
        <v>367</v>
      </c>
      <c r="C218" s="64"/>
      <c r="D218" s="394">
        <v>226</v>
      </c>
      <c r="E218" s="394">
        <v>244</v>
      </c>
      <c r="F218" s="380" t="s">
        <v>358</v>
      </c>
      <c r="G218" s="380"/>
      <c r="H218" s="380"/>
      <c r="I218" s="380"/>
      <c r="J218" s="380"/>
      <c r="K218" s="380"/>
      <c r="L218" s="380"/>
      <c r="M218" s="380"/>
      <c r="N218" s="380"/>
      <c r="O218" s="380"/>
      <c r="P218" s="380"/>
      <c r="Q218" s="380"/>
      <c r="R218" s="380"/>
      <c r="S218" s="65"/>
      <c r="T218" s="385">
        <f>O220</f>
        <v>148920</v>
      </c>
      <c r="U218" s="385">
        <f>O221</f>
        <v>155730</v>
      </c>
      <c r="V218" s="385">
        <f>O222</f>
        <v>162840</v>
      </c>
      <c r="W218" s="338" t="s">
        <v>369</v>
      </c>
    </row>
    <row r="219" spans="1:23" ht="21" customHeight="1" x14ac:dyDescent="0.25">
      <c r="A219" s="389"/>
      <c r="B219" s="392"/>
      <c r="C219" s="64"/>
      <c r="D219" s="395"/>
      <c r="E219" s="395"/>
      <c r="F219" s="61">
        <v>2023</v>
      </c>
      <c r="G219" s="343">
        <v>213</v>
      </c>
      <c r="H219" s="67" t="s">
        <v>231</v>
      </c>
      <c r="I219" s="343"/>
      <c r="J219" s="67" t="s">
        <v>41</v>
      </c>
      <c r="K219" s="343">
        <f t="shared" ref="K219:K222" si="113">I219*G219</f>
        <v>0</v>
      </c>
      <c r="L219" s="67" t="s">
        <v>37</v>
      </c>
      <c r="M219" s="67"/>
      <c r="N219" s="67"/>
      <c r="O219" s="70">
        <f t="shared" ref="O219:O222" si="114">ROUNDUP((M219),-1)</f>
        <v>0</v>
      </c>
      <c r="P219" s="67"/>
      <c r="Q219" s="67"/>
      <c r="R219" s="65"/>
      <c r="S219" s="65"/>
      <c r="T219" s="386"/>
      <c r="U219" s="386"/>
      <c r="V219" s="386"/>
      <c r="W219" s="338"/>
    </row>
    <row r="220" spans="1:23" ht="21" customHeight="1" x14ac:dyDescent="0.25">
      <c r="A220" s="389"/>
      <c r="B220" s="392"/>
      <c r="C220" s="64"/>
      <c r="D220" s="395"/>
      <c r="E220" s="395"/>
      <c r="F220" s="68" t="str">
        <f>F14</f>
        <v>норматив на 2024 год :</v>
      </c>
      <c r="G220" s="343">
        <f>G219</f>
        <v>213</v>
      </c>
      <c r="H220" s="65" t="s">
        <v>271</v>
      </c>
      <c r="I220" s="278">
        <f>666.67*1.0487</f>
        <v>699.13682899999992</v>
      </c>
      <c r="J220" s="67" t="s">
        <v>41</v>
      </c>
      <c r="K220" s="343">
        <f t="shared" si="113"/>
        <v>148916.14457699997</v>
      </c>
      <c r="L220" s="67" t="s">
        <v>41</v>
      </c>
      <c r="M220" s="70">
        <f>ROUNDUP((K220),0)</f>
        <v>148917</v>
      </c>
      <c r="N220" s="71" t="s">
        <v>37</v>
      </c>
      <c r="O220" s="70">
        <f t="shared" si="114"/>
        <v>148920</v>
      </c>
      <c r="P220" s="67" t="s">
        <v>332</v>
      </c>
      <c r="Q220" s="72"/>
      <c r="R220" s="72"/>
      <c r="S220" s="65"/>
      <c r="T220" s="386"/>
      <c r="U220" s="386"/>
      <c r="V220" s="386"/>
      <c r="W220" s="338" t="str">
        <f>""&amp;TEXT(G220,"0,0")&amp;" ед. х "&amp;TEXT(ROUND((K220/G220),2),"0,00")&amp;" руб. = "&amp;TEXT(ROUND((G220*(ROUND((K220/G220),2))),2),"0 000,00")&amp;" руб. = "&amp;TEXT(O220,"0 000,00")&amp;" руб."</f>
        <v>213,0 ед. х 699,14 руб. = 148 916,82 руб. = 148 920,00 руб.</v>
      </c>
    </row>
    <row r="221" spans="1:23" ht="21" customHeight="1" x14ac:dyDescent="0.25">
      <c r="A221" s="389"/>
      <c r="B221" s="392"/>
      <c r="C221" s="64"/>
      <c r="D221" s="395"/>
      <c r="E221" s="395"/>
      <c r="F221" s="68" t="str">
        <f>F15</f>
        <v>норматив на 2025 год :</v>
      </c>
      <c r="G221" s="343">
        <f>G219</f>
        <v>213</v>
      </c>
      <c r="H221" s="67" t="str">
        <f>H220</f>
        <v>ед. х средняя цена с индексом потребительских цен</v>
      </c>
      <c r="I221" s="278">
        <f>I220*1.0457</f>
        <v>731.08738208529996</v>
      </c>
      <c r="J221" s="67" t="s">
        <v>41</v>
      </c>
      <c r="K221" s="343">
        <f t="shared" si="113"/>
        <v>155721.6123841689</v>
      </c>
      <c r="L221" s="67" t="s">
        <v>41</v>
      </c>
      <c r="M221" s="70">
        <f t="shared" ref="M221:M222" si="115">ROUNDUP((K221),0)</f>
        <v>155722</v>
      </c>
      <c r="N221" s="71" t="s">
        <v>37</v>
      </c>
      <c r="O221" s="70">
        <f t="shared" si="114"/>
        <v>155730</v>
      </c>
      <c r="P221" s="67" t="s">
        <v>332</v>
      </c>
      <c r="Q221" s="72"/>
      <c r="R221" s="72"/>
      <c r="S221" s="65"/>
      <c r="T221" s="386"/>
      <c r="U221" s="386"/>
      <c r="V221" s="386"/>
      <c r="W221" s="338" t="str">
        <f>""&amp;TEXT(G221,"0,0")&amp;" ед. х "&amp;TEXT(ROUND((K221/G221),2),"0,00")&amp;" руб. = "&amp;TEXT(ROUND((G221*(ROUND((K221/G221),2))),2),"0 000,00")&amp;" руб. = "&amp;TEXT(O221,"0 000,00")&amp;" руб."</f>
        <v>213,0 ед. х 731,09 руб. = 155 722,17 руб. = 155 730,00 руб.</v>
      </c>
    </row>
    <row r="222" spans="1:23" ht="21" customHeight="1" x14ac:dyDescent="0.25">
      <c r="A222" s="390"/>
      <c r="B222" s="393"/>
      <c r="C222" s="64"/>
      <c r="D222" s="396"/>
      <c r="E222" s="396"/>
      <c r="F222" s="68" t="str">
        <f>F16</f>
        <v>норматив на 2026 год :</v>
      </c>
      <c r="G222" s="343">
        <f>G219</f>
        <v>213</v>
      </c>
      <c r="H222" s="67" t="str">
        <f>H220</f>
        <v>ед. х средняя цена с индексом потребительских цен</v>
      </c>
      <c r="I222" s="278">
        <f>I221*1.0457</f>
        <v>764.49807544659825</v>
      </c>
      <c r="J222" s="67" t="s">
        <v>41</v>
      </c>
      <c r="K222" s="343">
        <f t="shared" si="113"/>
        <v>162838.09007012541</v>
      </c>
      <c r="L222" s="67" t="s">
        <v>41</v>
      </c>
      <c r="M222" s="70">
        <f t="shared" si="115"/>
        <v>162839</v>
      </c>
      <c r="N222" s="71" t="s">
        <v>37</v>
      </c>
      <c r="O222" s="70">
        <f t="shared" si="114"/>
        <v>162840</v>
      </c>
      <c r="P222" s="67" t="s">
        <v>332</v>
      </c>
      <c r="Q222" s="72"/>
      <c r="R222" s="72"/>
      <c r="S222" s="65"/>
      <c r="T222" s="387"/>
      <c r="U222" s="387"/>
      <c r="V222" s="387"/>
      <c r="W222" s="338" t="str">
        <f>""&amp;TEXT(G222,"0,0")&amp;" ед. х "&amp;TEXT(ROUND((K222/G222),2),"0,00")&amp;" руб. = "&amp;TEXT(ROUND((G222*(ROUND((K222/G222),2))),2),"0 000,00")&amp;" руб. = "&amp;TEXT(O222,"0 000,00")&amp;" руб."</f>
        <v>213,0 ед. х 764,50 руб. = 162 838,50 руб. = 162 840,00 руб.</v>
      </c>
    </row>
    <row r="223" spans="1:23" ht="27.75" customHeight="1" x14ac:dyDescent="0.25">
      <c r="A223" s="481" t="s">
        <v>385</v>
      </c>
      <c r="B223" s="481"/>
      <c r="C223" s="481"/>
      <c r="D223" s="481"/>
      <c r="E223" s="481"/>
      <c r="F223" s="481"/>
      <c r="G223" s="481"/>
      <c r="H223" s="481"/>
      <c r="I223" s="481"/>
      <c r="J223" s="481"/>
      <c r="K223" s="481"/>
      <c r="L223" s="481"/>
      <c r="M223" s="481"/>
      <c r="N223" s="481"/>
      <c r="O223" s="481"/>
      <c r="P223" s="481"/>
      <c r="Q223" s="481"/>
      <c r="R223" s="481"/>
      <c r="S223" s="481"/>
      <c r="T223" s="481"/>
      <c r="U223" s="481"/>
      <c r="V223" s="481"/>
      <c r="W223" s="481"/>
    </row>
    <row r="224" spans="1:23" ht="10.5" customHeight="1" x14ac:dyDescent="0.25">
      <c r="A224" s="101"/>
      <c r="B224" s="256"/>
      <c r="C224" s="101"/>
      <c r="D224" s="101"/>
      <c r="E224" s="101"/>
      <c r="F224" s="101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1"/>
      <c r="R224" s="101"/>
      <c r="S224" s="101"/>
      <c r="T224" s="256"/>
      <c r="U224" s="256"/>
      <c r="V224" s="256"/>
      <c r="W224" s="101"/>
    </row>
    <row r="225" spans="1:23" ht="25.5" customHeight="1" x14ac:dyDescent="0.25">
      <c r="A225" s="102" t="s">
        <v>197</v>
      </c>
      <c r="W225" s="103" t="s">
        <v>196</v>
      </c>
    </row>
    <row r="227" spans="1:23" x14ac:dyDescent="0.25">
      <c r="A227" s="104"/>
    </row>
  </sheetData>
  <autoFilter ref="A8:W223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9" showButton="0"/>
    <filterColumn colId="20" showButton="0"/>
  </autoFilter>
  <mergeCells count="355">
    <mergeCell ref="A223:W223"/>
    <mergeCell ref="U213:U217"/>
    <mergeCell ref="V213:V217"/>
    <mergeCell ref="A218:A222"/>
    <mergeCell ref="B218:B222"/>
    <mergeCell ref="D218:D222"/>
    <mergeCell ref="E218:E222"/>
    <mergeCell ref="F218:R218"/>
    <mergeCell ref="T218:T222"/>
    <mergeCell ref="U218:U222"/>
    <mergeCell ref="V218:V222"/>
    <mergeCell ref="A213:A217"/>
    <mergeCell ref="B213:B217"/>
    <mergeCell ref="D213:D217"/>
    <mergeCell ref="E213:E217"/>
    <mergeCell ref="F213:R213"/>
    <mergeCell ref="T213:T217"/>
    <mergeCell ref="A208:A212"/>
    <mergeCell ref="B208:B212"/>
    <mergeCell ref="D208:D212"/>
    <mergeCell ref="E208:E212"/>
    <mergeCell ref="F208:R208"/>
    <mergeCell ref="T208:T212"/>
    <mergeCell ref="U208:U212"/>
    <mergeCell ref="V208:V212"/>
    <mergeCell ref="A203:A207"/>
    <mergeCell ref="B203:B207"/>
    <mergeCell ref="D203:D207"/>
    <mergeCell ref="E203:E207"/>
    <mergeCell ref="F203:R203"/>
    <mergeCell ref="T203:T207"/>
    <mergeCell ref="A198:A202"/>
    <mergeCell ref="B198:B202"/>
    <mergeCell ref="D198:D202"/>
    <mergeCell ref="E198:E202"/>
    <mergeCell ref="F198:R198"/>
    <mergeCell ref="T198:T202"/>
    <mergeCell ref="U198:U202"/>
    <mergeCell ref="V198:V202"/>
    <mergeCell ref="U203:U207"/>
    <mergeCell ref="V203:V207"/>
    <mergeCell ref="V188:V192"/>
    <mergeCell ref="A193:A197"/>
    <mergeCell ref="B193:B197"/>
    <mergeCell ref="D193:D197"/>
    <mergeCell ref="E193:E197"/>
    <mergeCell ref="F193:R193"/>
    <mergeCell ref="T193:T197"/>
    <mergeCell ref="U193:U197"/>
    <mergeCell ref="V193:V197"/>
    <mergeCell ref="F187:S187"/>
    <mergeCell ref="A188:A192"/>
    <mergeCell ref="B188:B192"/>
    <mergeCell ref="D188:D192"/>
    <mergeCell ref="E188:E192"/>
    <mergeCell ref="F188:R188"/>
    <mergeCell ref="U177:U181"/>
    <mergeCell ref="V177:V181"/>
    <mergeCell ref="A182:A186"/>
    <mergeCell ref="B182:B186"/>
    <mergeCell ref="D182:D186"/>
    <mergeCell ref="E182:E186"/>
    <mergeCell ref="F182:R182"/>
    <mergeCell ref="T182:T186"/>
    <mergeCell ref="U182:U186"/>
    <mergeCell ref="V182:V186"/>
    <mergeCell ref="A177:A181"/>
    <mergeCell ref="B177:B181"/>
    <mergeCell ref="D177:D181"/>
    <mergeCell ref="E177:E181"/>
    <mergeCell ref="F177:R177"/>
    <mergeCell ref="T177:T181"/>
    <mergeCell ref="T188:T192"/>
    <mergeCell ref="U188:U192"/>
    <mergeCell ref="U167:U171"/>
    <mergeCell ref="V167:V171"/>
    <mergeCell ref="A172:A176"/>
    <mergeCell ref="B172:B176"/>
    <mergeCell ref="D172:D176"/>
    <mergeCell ref="E172:E176"/>
    <mergeCell ref="F172:R172"/>
    <mergeCell ref="T172:T176"/>
    <mergeCell ref="U172:U176"/>
    <mergeCell ref="V172:V176"/>
    <mergeCell ref="A167:A171"/>
    <mergeCell ref="B167:B171"/>
    <mergeCell ref="D167:D171"/>
    <mergeCell ref="E167:E171"/>
    <mergeCell ref="F167:R167"/>
    <mergeCell ref="T167:T171"/>
    <mergeCell ref="U157:U161"/>
    <mergeCell ref="V157:V161"/>
    <mergeCell ref="A162:A166"/>
    <mergeCell ref="B162:B166"/>
    <mergeCell ref="D162:D166"/>
    <mergeCell ref="E162:E166"/>
    <mergeCell ref="F162:R162"/>
    <mergeCell ref="T162:T166"/>
    <mergeCell ref="U162:U166"/>
    <mergeCell ref="V162:V166"/>
    <mergeCell ref="A157:A161"/>
    <mergeCell ref="B157:B161"/>
    <mergeCell ref="D157:D161"/>
    <mergeCell ref="E157:E161"/>
    <mergeCell ref="F157:R157"/>
    <mergeCell ref="T157:T161"/>
    <mergeCell ref="U147:U151"/>
    <mergeCell ref="V147:V151"/>
    <mergeCell ref="A152:A156"/>
    <mergeCell ref="B152:B156"/>
    <mergeCell ref="D152:D156"/>
    <mergeCell ref="E152:E156"/>
    <mergeCell ref="F152:R152"/>
    <mergeCell ref="T152:T156"/>
    <mergeCell ref="U152:U156"/>
    <mergeCell ref="V152:V156"/>
    <mergeCell ref="A147:A151"/>
    <mergeCell ref="B147:B151"/>
    <mergeCell ref="D147:D151"/>
    <mergeCell ref="E147:E151"/>
    <mergeCell ref="F147:R147"/>
    <mergeCell ref="S147:S151"/>
    <mergeCell ref="T147:T151"/>
    <mergeCell ref="A142:A146"/>
    <mergeCell ref="B142:B146"/>
    <mergeCell ref="D142:D146"/>
    <mergeCell ref="E142:E146"/>
    <mergeCell ref="F142:R142"/>
    <mergeCell ref="S142:S146"/>
    <mergeCell ref="A138:A141"/>
    <mergeCell ref="B138:B141"/>
    <mergeCell ref="D138:D141"/>
    <mergeCell ref="E138:E141"/>
    <mergeCell ref="F138:R138"/>
    <mergeCell ref="T138:T141"/>
    <mergeCell ref="U138:U141"/>
    <mergeCell ref="V138:V141"/>
    <mergeCell ref="T142:T146"/>
    <mergeCell ref="U142:U146"/>
    <mergeCell ref="V142:V146"/>
    <mergeCell ref="U127:U131"/>
    <mergeCell ref="V127:V131"/>
    <mergeCell ref="F132:S132"/>
    <mergeCell ref="V133:V137"/>
    <mergeCell ref="A133:A137"/>
    <mergeCell ref="B133:B137"/>
    <mergeCell ref="D133:D137"/>
    <mergeCell ref="E133:E137"/>
    <mergeCell ref="F133:R133"/>
    <mergeCell ref="T133:T137"/>
    <mergeCell ref="U133:U137"/>
    <mergeCell ref="A127:A131"/>
    <mergeCell ref="B127:B131"/>
    <mergeCell ref="D127:D131"/>
    <mergeCell ref="E127:E131"/>
    <mergeCell ref="F127:R127"/>
    <mergeCell ref="T127:T131"/>
    <mergeCell ref="A117:A121"/>
    <mergeCell ref="B117:B121"/>
    <mergeCell ref="D117:D121"/>
    <mergeCell ref="E117:E121"/>
    <mergeCell ref="F117:R117"/>
    <mergeCell ref="T117:T121"/>
    <mergeCell ref="U117:U121"/>
    <mergeCell ref="V117:V121"/>
    <mergeCell ref="A122:A126"/>
    <mergeCell ref="B122:B126"/>
    <mergeCell ref="D122:D126"/>
    <mergeCell ref="E122:E126"/>
    <mergeCell ref="F122:R122"/>
    <mergeCell ref="T122:T126"/>
    <mergeCell ref="U122:U126"/>
    <mergeCell ref="V122:V126"/>
    <mergeCell ref="A113:A116"/>
    <mergeCell ref="B113:B116"/>
    <mergeCell ref="D113:D116"/>
    <mergeCell ref="E113:E116"/>
    <mergeCell ref="F113:R113"/>
    <mergeCell ref="U102:U106"/>
    <mergeCell ref="V102:V106"/>
    <mergeCell ref="A107:A111"/>
    <mergeCell ref="B107:B111"/>
    <mergeCell ref="D107:D111"/>
    <mergeCell ref="E107:E111"/>
    <mergeCell ref="F107:R107"/>
    <mergeCell ref="T107:T111"/>
    <mergeCell ref="U107:U111"/>
    <mergeCell ref="V107:V111"/>
    <mergeCell ref="A102:A106"/>
    <mergeCell ref="B102:B106"/>
    <mergeCell ref="D102:D106"/>
    <mergeCell ref="E102:E106"/>
    <mergeCell ref="F102:R102"/>
    <mergeCell ref="T102:T106"/>
    <mergeCell ref="T113:T116"/>
    <mergeCell ref="U113:U116"/>
    <mergeCell ref="V113:V116"/>
    <mergeCell ref="A97:A101"/>
    <mergeCell ref="B97:B101"/>
    <mergeCell ref="D97:D101"/>
    <mergeCell ref="E97:E101"/>
    <mergeCell ref="F97:R97"/>
    <mergeCell ref="T97:T101"/>
    <mergeCell ref="U97:U101"/>
    <mergeCell ref="V97:V101"/>
    <mergeCell ref="F112:S112"/>
    <mergeCell ref="V88:V91"/>
    <mergeCell ref="A92:A96"/>
    <mergeCell ref="B92:B96"/>
    <mergeCell ref="D92:D96"/>
    <mergeCell ref="E92:E96"/>
    <mergeCell ref="F92:R92"/>
    <mergeCell ref="T92:T96"/>
    <mergeCell ref="U92:U96"/>
    <mergeCell ref="V92:V96"/>
    <mergeCell ref="F87:S87"/>
    <mergeCell ref="A88:A91"/>
    <mergeCell ref="B88:B91"/>
    <mergeCell ref="D88:D91"/>
    <mergeCell ref="E88:E91"/>
    <mergeCell ref="F88:R88"/>
    <mergeCell ref="U77:U81"/>
    <mergeCell ref="V77:V81"/>
    <mergeCell ref="A82:A86"/>
    <mergeCell ref="B82:B86"/>
    <mergeCell ref="D82:D86"/>
    <mergeCell ref="E82:E86"/>
    <mergeCell ref="F82:R82"/>
    <mergeCell ref="T82:T86"/>
    <mergeCell ref="U82:U86"/>
    <mergeCell ref="V82:V86"/>
    <mergeCell ref="A77:A81"/>
    <mergeCell ref="B77:B81"/>
    <mergeCell ref="D77:D81"/>
    <mergeCell ref="E77:E81"/>
    <mergeCell ref="F77:R77"/>
    <mergeCell ref="T77:T81"/>
    <mergeCell ref="T88:T91"/>
    <mergeCell ref="U88:U91"/>
    <mergeCell ref="U67:U71"/>
    <mergeCell ref="V67:V71"/>
    <mergeCell ref="A72:A76"/>
    <mergeCell ref="B72:B76"/>
    <mergeCell ref="D72:D76"/>
    <mergeCell ref="E72:E76"/>
    <mergeCell ref="F72:R72"/>
    <mergeCell ref="T72:T76"/>
    <mergeCell ref="U72:U76"/>
    <mergeCell ref="V72:V76"/>
    <mergeCell ref="A67:A71"/>
    <mergeCell ref="B67:B71"/>
    <mergeCell ref="D67:D71"/>
    <mergeCell ref="E67:E71"/>
    <mergeCell ref="F67:R67"/>
    <mergeCell ref="T67:T71"/>
    <mergeCell ref="U57:U61"/>
    <mergeCell ref="V57:V61"/>
    <mergeCell ref="A62:A66"/>
    <mergeCell ref="B62:B66"/>
    <mergeCell ref="D62:D66"/>
    <mergeCell ref="E62:E66"/>
    <mergeCell ref="F62:R62"/>
    <mergeCell ref="T62:T66"/>
    <mergeCell ref="U62:U66"/>
    <mergeCell ref="V62:V66"/>
    <mergeCell ref="A57:A61"/>
    <mergeCell ref="B57:B61"/>
    <mergeCell ref="D57:D61"/>
    <mergeCell ref="E57:E61"/>
    <mergeCell ref="F57:R57"/>
    <mergeCell ref="T57:T61"/>
    <mergeCell ref="U47:U51"/>
    <mergeCell ref="V47:V51"/>
    <mergeCell ref="A52:A56"/>
    <mergeCell ref="B52:B56"/>
    <mergeCell ref="D52:D56"/>
    <mergeCell ref="E52:E56"/>
    <mergeCell ref="F52:R52"/>
    <mergeCell ref="T52:T56"/>
    <mergeCell ref="U52:U56"/>
    <mergeCell ref="V52:V56"/>
    <mergeCell ref="A47:A51"/>
    <mergeCell ref="B47:B51"/>
    <mergeCell ref="D47:D51"/>
    <mergeCell ref="E47:E51"/>
    <mergeCell ref="F47:R47"/>
    <mergeCell ref="T47:T51"/>
    <mergeCell ref="A37:A41"/>
    <mergeCell ref="B37:B41"/>
    <mergeCell ref="D37:D41"/>
    <mergeCell ref="E37:E41"/>
    <mergeCell ref="F37:R37"/>
    <mergeCell ref="T37:T41"/>
    <mergeCell ref="U37:U41"/>
    <mergeCell ref="V37:V41"/>
    <mergeCell ref="A42:A46"/>
    <mergeCell ref="B42:B46"/>
    <mergeCell ref="D42:D46"/>
    <mergeCell ref="E42:E46"/>
    <mergeCell ref="F42:R42"/>
    <mergeCell ref="T42:T46"/>
    <mergeCell ref="U42:U46"/>
    <mergeCell ref="V42:V46"/>
    <mergeCell ref="W18:W19"/>
    <mergeCell ref="W20:W21"/>
    <mergeCell ref="W22:W23"/>
    <mergeCell ref="F24:S24"/>
    <mergeCell ref="F31:S31"/>
    <mergeCell ref="A32:A36"/>
    <mergeCell ref="B32:B36"/>
    <mergeCell ref="D32:D36"/>
    <mergeCell ref="E32:E36"/>
    <mergeCell ref="F32:R32"/>
    <mergeCell ref="T32:T36"/>
    <mergeCell ref="U32:U36"/>
    <mergeCell ref="V32:V36"/>
    <mergeCell ref="F25:S25"/>
    <mergeCell ref="A26:A30"/>
    <mergeCell ref="B26:B30"/>
    <mergeCell ref="D26:D30"/>
    <mergeCell ref="E26:E30"/>
    <mergeCell ref="F26:R26"/>
    <mergeCell ref="T26:T30"/>
    <mergeCell ref="U26:U30"/>
    <mergeCell ref="V26:V30"/>
    <mergeCell ref="V13:V16"/>
    <mergeCell ref="A17:A23"/>
    <mergeCell ref="B17:B23"/>
    <mergeCell ref="D17:D23"/>
    <mergeCell ref="E17:E23"/>
    <mergeCell ref="F17:R17"/>
    <mergeCell ref="T17:T23"/>
    <mergeCell ref="U17:U23"/>
    <mergeCell ref="V17:V23"/>
    <mergeCell ref="F11:S11"/>
    <mergeCell ref="F12:S12"/>
    <mergeCell ref="A13:A16"/>
    <mergeCell ref="B13:B16"/>
    <mergeCell ref="D13:D16"/>
    <mergeCell ref="E13:E16"/>
    <mergeCell ref="F13:R13"/>
    <mergeCell ref="T13:T16"/>
    <mergeCell ref="U13:U16"/>
    <mergeCell ref="A2:W2"/>
    <mergeCell ref="A3:W3"/>
    <mergeCell ref="A4:W4"/>
    <mergeCell ref="A5:W5"/>
    <mergeCell ref="A6:W6"/>
    <mergeCell ref="A8:A9"/>
    <mergeCell ref="B8:B9"/>
    <mergeCell ref="D8:D9"/>
    <mergeCell ref="E8:E9"/>
    <mergeCell ref="F8:R9"/>
    <mergeCell ref="T8:V8"/>
    <mergeCell ref="W8:W9"/>
  </mergeCells>
  <pageMargins left="0.55118110236220474" right="0.39370078740157483" top="0.6692913385826772" bottom="0.35433070866141736" header="0.31496062992125984" footer="0.19685039370078741"/>
  <pageSetup paperSize="9" scale="46" fitToHeight="14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X221"/>
  <sheetViews>
    <sheetView zoomScale="60" zoomScaleNormal="60" zoomScaleSheetLayoutView="70" workbookViewId="0">
      <pane xSplit="2" ySplit="10" topLeftCell="C26" activePane="bottomRight" state="frozen"/>
      <selection pane="topRight" activeCell="C1" sqref="C1"/>
      <selection pane="bottomLeft" activeCell="A11" sqref="A11"/>
      <selection pane="bottomRight" activeCell="B31" sqref="B31:B35"/>
    </sheetView>
  </sheetViews>
  <sheetFormatPr defaultColWidth="9.140625" defaultRowHeight="18.75" outlineLevelRow="1" outlineLevelCol="1" x14ac:dyDescent="0.25"/>
  <cols>
    <col min="1" max="1" width="9.5703125" style="55" customWidth="1"/>
    <col min="2" max="2" width="42.28515625" style="154" customWidth="1"/>
    <col min="3" max="3" width="0.28515625" style="55" customWidth="1" outlineLevel="1" collapsed="1"/>
    <col min="4" max="4" width="9" style="55" customWidth="1" outlineLevel="1"/>
    <col min="5" max="5" width="9" style="55" customWidth="1" outlineLevel="1" collapsed="1"/>
    <col min="6" max="6" width="29" style="55" customWidth="1" outlineLevel="1"/>
    <col min="7" max="7" width="13.5703125" style="55" customWidth="1" outlineLevel="1"/>
    <col min="8" max="8" width="32.85546875" style="55" customWidth="1" outlineLevel="1"/>
    <col min="9" max="9" width="16.7109375" style="55" customWidth="1" outlineLevel="1"/>
    <col min="10" max="10" width="29.85546875" style="55" customWidth="1" outlineLevel="1"/>
    <col min="11" max="11" width="17.140625" style="55" customWidth="1" outlineLevel="1"/>
    <col min="12" max="12" width="13.140625" style="55" customWidth="1" outlineLevel="1"/>
    <col min="13" max="13" width="18" style="55" customWidth="1" outlineLevel="1"/>
    <col min="14" max="14" width="26.7109375" style="55" customWidth="1" outlineLevel="1"/>
    <col min="15" max="15" width="24.85546875" style="55" customWidth="1" outlineLevel="1"/>
    <col min="16" max="16" width="19.7109375" style="55" customWidth="1" outlineLevel="1"/>
    <col min="17" max="17" width="14" style="55" customWidth="1" outlineLevel="1"/>
    <col min="18" max="18" width="9.85546875" style="55" customWidth="1" outlineLevel="1"/>
    <col min="19" max="19" width="14.42578125" style="55" hidden="1" customWidth="1" collapsed="1"/>
    <col min="20" max="20" width="20.5703125" style="154" customWidth="1"/>
    <col min="21" max="21" width="19.42578125" style="154" customWidth="1"/>
    <col min="22" max="22" width="20.7109375" style="154" customWidth="1"/>
    <col min="23" max="23" width="150.42578125" style="55" customWidth="1" collapsed="1"/>
    <col min="24" max="24" width="9.85546875" style="55" customWidth="1"/>
    <col min="25" max="25" width="14.140625" style="55" customWidth="1"/>
    <col min="26" max="26" width="15.42578125" style="55" customWidth="1"/>
    <col min="27" max="16384" width="9.140625" style="55"/>
  </cols>
  <sheetData>
    <row r="1" spans="1:23" x14ac:dyDescent="0.25">
      <c r="A1" s="59"/>
    </row>
    <row r="2" spans="1:23" ht="15" x14ac:dyDescent="0.25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</row>
    <row r="3" spans="1:23" ht="15" x14ac:dyDescent="0.25">
      <c r="A3" s="452" t="s">
        <v>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</row>
    <row r="4" spans="1:23" ht="15" x14ac:dyDescent="0.25">
      <c r="A4" s="452" t="s">
        <v>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</row>
    <row r="5" spans="1:23" ht="15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</row>
    <row r="6" spans="1:23" ht="15" x14ac:dyDescent="0.25">
      <c r="A6" s="450" t="s">
        <v>379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</row>
    <row r="7" spans="1:23" x14ac:dyDescent="0.25">
      <c r="A7" s="59"/>
    </row>
    <row r="8" spans="1:23" ht="40.5" customHeight="1" x14ac:dyDescent="0.25">
      <c r="A8" s="383" t="s">
        <v>24</v>
      </c>
      <c r="B8" s="448" t="s">
        <v>4</v>
      </c>
      <c r="C8" s="315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315"/>
      <c r="T8" s="448" t="s">
        <v>23</v>
      </c>
      <c r="U8" s="448"/>
      <c r="V8" s="448"/>
      <c r="W8" s="448" t="s">
        <v>120</v>
      </c>
    </row>
    <row r="9" spans="1:23" ht="30.75" customHeight="1" x14ac:dyDescent="0.25">
      <c r="A9" s="383"/>
      <c r="B9" s="448"/>
      <c r="C9" s="315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315"/>
      <c r="T9" s="249">
        <v>2024</v>
      </c>
      <c r="U9" s="249">
        <v>2025</v>
      </c>
      <c r="V9" s="249">
        <v>2026</v>
      </c>
      <c r="W9" s="448"/>
    </row>
    <row r="10" spans="1:23" ht="21.75" customHeight="1" x14ac:dyDescent="0.25">
      <c r="A10" s="315">
        <v>1</v>
      </c>
      <c r="B10" s="321">
        <v>2</v>
      </c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21">
        <v>3</v>
      </c>
      <c r="U10" s="321">
        <v>4</v>
      </c>
      <c r="V10" s="321">
        <v>5</v>
      </c>
      <c r="W10" s="61">
        <v>6</v>
      </c>
    </row>
    <row r="11" spans="1:23" ht="82.5" customHeight="1" x14ac:dyDescent="0.25">
      <c r="A11" s="309">
        <v>1</v>
      </c>
      <c r="B11" s="257" t="s">
        <v>86</v>
      </c>
      <c r="C11" s="63"/>
      <c r="D11" s="323" t="s">
        <v>35</v>
      </c>
      <c r="E11" s="323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251">
        <f>T12</f>
        <v>2920520</v>
      </c>
      <c r="U11" s="251">
        <f t="shared" ref="U11:V11" si="0">U12</f>
        <v>3042590</v>
      </c>
      <c r="V11" s="251">
        <f t="shared" si="0"/>
        <v>3164850</v>
      </c>
      <c r="W11" s="319" t="str">
        <f>"Нормативные "&amp;TEXT(B11,"0")&amp;" включают в себя:
нормативные "&amp;TEXT(B12,"0")&amp;""</f>
        <v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v>
      </c>
    </row>
    <row r="12" spans="1:23" ht="73.5" customHeight="1" x14ac:dyDescent="0.25">
      <c r="A12" s="320" t="s">
        <v>5</v>
      </c>
      <c r="B12" s="316" t="s">
        <v>92</v>
      </c>
      <c r="C12" s="52"/>
      <c r="D12" s="323" t="s">
        <v>35</v>
      </c>
      <c r="E12" s="323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252">
        <f>SUM(T13,T17)</f>
        <v>2920520</v>
      </c>
      <c r="U12" s="252">
        <f t="shared" ref="U12:V12" si="1">SUM(U13,U17)</f>
        <v>3042590</v>
      </c>
      <c r="V12" s="252">
        <f t="shared" si="1"/>
        <v>3164850</v>
      </c>
      <c r="W12" s="319" t="str">
        <f>"Нормативные "&amp;TEXT(B12,"0")&amp;" включают в себя:
нормативные "&amp;TEXT(B13,"0")&amp;";
нормативные "&amp;TEXT(B17,"0")&amp;""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принтеров, многофункциональных устройств и копировальных аппаратов (оргтехники)</v>
      </c>
    </row>
    <row r="13" spans="1:23" ht="100.5" customHeight="1" x14ac:dyDescent="0.25">
      <c r="A13" s="454" t="s">
        <v>6</v>
      </c>
      <c r="B13" s="376" t="s">
        <v>91</v>
      </c>
      <c r="C13" s="52"/>
      <c r="D13" s="378">
        <v>346</v>
      </c>
      <c r="E13" s="378">
        <v>242</v>
      </c>
      <c r="F13" s="455" t="s">
        <v>241</v>
      </c>
      <c r="G13" s="455"/>
      <c r="H13" s="455"/>
      <c r="I13" s="455"/>
      <c r="J13" s="455"/>
      <c r="K13" s="455"/>
      <c r="L13" s="455"/>
      <c r="M13" s="455"/>
      <c r="N13" s="455"/>
      <c r="O13" s="455"/>
      <c r="P13" s="455"/>
      <c r="Q13" s="455"/>
      <c r="R13" s="455"/>
      <c r="S13" s="65"/>
      <c r="T13" s="381">
        <f>M14</f>
        <v>140940</v>
      </c>
      <c r="U13" s="381">
        <f>M15</f>
        <v>147380</v>
      </c>
      <c r="V13" s="381">
        <f>M16</f>
        <v>154120</v>
      </c>
      <c r="W13" s="319" t="s">
        <v>39</v>
      </c>
    </row>
    <row r="14" spans="1:23" ht="27.75" customHeight="1" x14ac:dyDescent="0.25">
      <c r="A14" s="454"/>
      <c r="B14" s="377"/>
      <c r="C14" s="52"/>
      <c r="D14" s="379"/>
      <c r="E14" s="379"/>
      <c r="F14" s="136" t="s">
        <v>226</v>
      </c>
      <c r="G14" s="70">
        <v>1</v>
      </c>
      <c r="H14" s="67" t="s">
        <v>253</v>
      </c>
      <c r="I14" s="278">
        <f>12418300*1.0822*1.0487</f>
        <v>14093567.663462</v>
      </c>
      <c r="J14" s="67" t="s">
        <v>41</v>
      </c>
      <c r="K14" s="322">
        <f>ROUND((G14%*I14),2)</f>
        <v>140935.67999999999</v>
      </c>
      <c r="L14" s="67" t="s">
        <v>41</v>
      </c>
      <c r="M14" s="70">
        <f>ROUNDUP((K14),-1)</f>
        <v>140940</v>
      </c>
      <c r="N14" s="71" t="s">
        <v>37</v>
      </c>
      <c r="O14" s="61"/>
      <c r="P14" s="61"/>
      <c r="Q14" s="61"/>
      <c r="R14" s="61"/>
      <c r="S14" s="65"/>
      <c r="T14" s="381"/>
      <c r="U14" s="381"/>
      <c r="V14" s="381"/>
      <c r="W14" s="319" t="str">
        <f>"норматив "&amp;TEXT(G14,"0,0")&amp;" % х "&amp;TEXT(I14,"0 000,00")&amp;" руб. = "&amp;TEXT(K14,"0 000,00")&amp;" руб. = "&amp;TEXT(M14,"0 000,00")&amp;" руб."</f>
        <v>норматив 1,0 % х 14 093 567,66 руб. = 140 935,68 руб. = 140 940,00 руб.</v>
      </c>
    </row>
    <row r="15" spans="1:23" ht="24" customHeight="1" x14ac:dyDescent="0.25">
      <c r="A15" s="454"/>
      <c r="B15" s="377"/>
      <c r="C15" s="52"/>
      <c r="D15" s="379"/>
      <c r="E15" s="379"/>
      <c r="F15" s="136" t="s">
        <v>240</v>
      </c>
      <c r="G15" s="70">
        <v>1</v>
      </c>
      <c r="H15" s="67" t="s">
        <v>253</v>
      </c>
      <c r="I15" s="278">
        <f>I14*1.0457</f>
        <v>14737643.705682214</v>
      </c>
      <c r="J15" s="67" t="s">
        <v>41</v>
      </c>
      <c r="K15" s="322">
        <f>ROUND((G15%*I15),2)</f>
        <v>147376.44</v>
      </c>
      <c r="L15" s="67" t="s">
        <v>41</v>
      </c>
      <c r="M15" s="70">
        <f>ROUNDUP((K15),-1)</f>
        <v>147380</v>
      </c>
      <c r="N15" s="71" t="s">
        <v>37</v>
      </c>
      <c r="O15" s="61"/>
      <c r="P15" s="61"/>
      <c r="Q15" s="61"/>
      <c r="R15" s="61"/>
      <c r="S15" s="65"/>
      <c r="T15" s="381"/>
      <c r="U15" s="381"/>
      <c r="V15" s="381"/>
      <c r="W15" s="319" t="str">
        <f>"норматив "&amp;TEXT(G15,"0,0")&amp;" % х "&amp;TEXT(I15,"0 000,00")&amp;" руб. = "&amp;TEXT(K15,"0 000,00")&amp;" руб. = "&amp;TEXT(M15,"0 000,00")&amp;" руб."</f>
        <v>норматив 1,0 % х 14 737 643,71 руб. = 147 376,44 руб. = 147 380,00 руб.</v>
      </c>
    </row>
    <row r="16" spans="1:23" ht="27" customHeight="1" x14ac:dyDescent="0.25">
      <c r="A16" s="454"/>
      <c r="B16" s="377"/>
      <c r="C16" s="52"/>
      <c r="D16" s="379"/>
      <c r="E16" s="379"/>
      <c r="F16" s="136" t="s">
        <v>380</v>
      </c>
      <c r="G16" s="70">
        <v>1</v>
      </c>
      <c r="H16" s="67" t="s">
        <v>253</v>
      </c>
      <c r="I16" s="278">
        <f>I15*1.0457</f>
        <v>15411154.023031892</v>
      </c>
      <c r="J16" s="67" t="s">
        <v>41</v>
      </c>
      <c r="K16" s="322">
        <f>ROUND((G16%*I16),2)</f>
        <v>154111.54</v>
      </c>
      <c r="L16" s="67" t="s">
        <v>41</v>
      </c>
      <c r="M16" s="70">
        <f>ROUNDUP((K16),-1)</f>
        <v>154120</v>
      </c>
      <c r="N16" s="71" t="s">
        <v>37</v>
      </c>
      <c r="O16" s="61"/>
      <c r="P16" s="61"/>
      <c r="Q16" s="61"/>
      <c r="R16" s="61"/>
      <c r="S16" s="65"/>
      <c r="T16" s="381"/>
      <c r="U16" s="381"/>
      <c r="V16" s="381"/>
      <c r="W16" s="319" t="str">
        <f>"норматив "&amp;TEXT(G16,"0,0")&amp;" % х "&amp;TEXT(I16,"0 000,00")&amp;" руб. = "&amp;TEXT(K16,"0 000,00")&amp;" руб. = "&amp;TEXT(M16,"0 000,00")&amp;" руб."</f>
        <v>норматив 1,0 % х 15 411 154,02 руб. = 154 111,54 руб. = 154 120,00 руб.</v>
      </c>
    </row>
    <row r="17" spans="1:23" ht="162.75" customHeight="1" x14ac:dyDescent="0.25">
      <c r="A17" s="454" t="s">
        <v>225</v>
      </c>
      <c r="B17" s="456" t="s">
        <v>386</v>
      </c>
      <c r="C17" s="64"/>
      <c r="D17" s="378">
        <v>346</v>
      </c>
      <c r="E17" s="378">
        <v>242</v>
      </c>
      <c r="F17" s="458" t="s">
        <v>384</v>
      </c>
      <c r="G17" s="458"/>
      <c r="H17" s="458"/>
      <c r="I17" s="458"/>
      <c r="J17" s="458"/>
      <c r="K17" s="458"/>
      <c r="L17" s="458"/>
      <c r="M17" s="458"/>
      <c r="N17" s="458"/>
      <c r="O17" s="458"/>
      <c r="P17" s="458"/>
      <c r="Q17" s="458"/>
      <c r="R17" s="458"/>
      <c r="S17" s="65"/>
      <c r="T17" s="381">
        <f>M19</f>
        <v>2779580</v>
      </c>
      <c r="U17" s="381">
        <f>M21</f>
        <v>2895210</v>
      </c>
      <c r="V17" s="381">
        <f>M23</f>
        <v>3010730</v>
      </c>
      <c r="W17" s="333" t="s">
        <v>387</v>
      </c>
    </row>
    <row r="18" spans="1:23" ht="15" x14ac:dyDescent="0.25">
      <c r="A18" s="454"/>
      <c r="B18" s="457"/>
      <c r="C18" s="64"/>
      <c r="D18" s="379"/>
      <c r="E18" s="379"/>
      <c r="F18" s="329" t="s">
        <v>229</v>
      </c>
      <c r="G18" s="278">
        <v>43499</v>
      </c>
      <c r="H18" s="67" t="s">
        <v>42</v>
      </c>
      <c r="I18" s="322">
        <v>213</v>
      </c>
      <c r="J18" s="67" t="s">
        <v>45</v>
      </c>
      <c r="K18" s="322">
        <v>5</v>
      </c>
      <c r="L18" s="67" t="s">
        <v>43</v>
      </c>
      <c r="M18" s="322">
        <v>0</v>
      </c>
      <c r="N18" s="67" t="s">
        <v>44</v>
      </c>
      <c r="O18" s="322">
        <f>ROUND((G18*(I18/K18+M18)),2)</f>
        <v>1853057.4</v>
      </c>
      <c r="P18" s="67" t="s">
        <v>37</v>
      </c>
      <c r="Q18" s="67"/>
      <c r="R18" s="65"/>
      <c r="S18" s="65"/>
      <c r="T18" s="381"/>
      <c r="U18" s="381"/>
      <c r="V18" s="381"/>
      <c r="W18" s="459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43 499,00 руб. х (213,00 шт.ед. : срок 5 лет + 0,00 шт.ед.) = 1 853 057,40 руб.) = 2 779 586,10 руб. = 2 779 580,00 руб.</v>
      </c>
    </row>
    <row r="19" spans="1:23" ht="15" x14ac:dyDescent="0.25">
      <c r="A19" s="454"/>
      <c r="B19" s="457"/>
      <c r="C19" s="64"/>
      <c r="D19" s="379"/>
      <c r="E19" s="379"/>
      <c r="F19" s="68" t="str">
        <f>F14</f>
        <v>норматив на 2024 год :</v>
      </c>
      <c r="G19" s="70">
        <v>150</v>
      </c>
      <c r="H19" s="67" t="s">
        <v>40</v>
      </c>
      <c r="I19" s="322">
        <f>O18</f>
        <v>1853057.4</v>
      </c>
      <c r="J19" s="67" t="s">
        <v>41</v>
      </c>
      <c r="K19" s="322">
        <f>ROUND((G19%*I19),2)</f>
        <v>2779586.1</v>
      </c>
      <c r="L19" s="67" t="s">
        <v>41</v>
      </c>
      <c r="M19" s="70">
        <f>ROUNDDOWN((K19),-1)</f>
        <v>2779580</v>
      </c>
      <c r="N19" s="71" t="s">
        <v>37</v>
      </c>
      <c r="O19" s="61"/>
      <c r="P19" s="61"/>
      <c r="Q19" s="61"/>
      <c r="R19" s="61"/>
      <c r="S19" s="65"/>
      <c r="T19" s="381"/>
      <c r="U19" s="381"/>
      <c r="V19" s="381"/>
      <c r="W19" s="460"/>
    </row>
    <row r="20" spans="1:23" ht="15" x14ac:dyDescent="0.25">
      <c r="A20" s="454"/>
      <c r="B20" s="457"/>
      <c r="C20" s="64"/>
      <c r="D20" s="379"/>
      <c r="E20" s="379"/>
      <c r="F20" s="329" t="s">
        <v>242</v>
      </c>
      <c r="G20" s="278">
        <v>45308.56</v>
      </c>
      <c r="H20" s="67" t="s">
        <v>42</v>
      </c>
      <c r="I20" s="322">
        <v>213</v>
      </c>
      <c r="J20" s="67" t="s">
        <v>45</v>
      </c>
      <c r="K20" s="322">
        <v>5</v>
      </c>
      <c r="L20" s="67" t="s">
        <v>43</v>
      </c>
      <c r="M20" s="322">
        <v>0</v>
      </c>
      <c r="N20" s="67" t="s">
        <v>44</v>
      </c>
      <c r="O20" s="322">
        <f>ROUND((G20*(I20/K20+M20)),2)</f>
        <v>1930144.66</v>
      </c>
      <c r="P20" s="67" t="s">
        <v>37</v>
      </c>
      <c r="Q20" s="67"/>
      <c r="R20" s="65"/>
      <c r="S20" s="65"/>
      <c r="T20" s="381"/>
      <c r="U20" s="381"/>
      <c r="V20" s="381"/>
      <c r="W20" s="459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45 308,56 руб. х (213,00 шт.ед. : срок 5 лет + 0,00 шт.ед.) = 1 930 144,66 руб.) = 2 895 216,99 руб. = 2 895 210,00 руб.</v>
      </c>
    </row>
    <row r="21" spans="1:23" ht="15" x14ac:dyDescent="0.25">
      <c r="A21" s="454"/>
      <c r="B21" s="457"/>
      <c r="C21" s="64"/>
      <c r="D21" s="379"/>
      <c r="E21" s="379"/>
      <c r="F21" s="68" t="str">
        <f>F15</f>
        <v>норматив на 2025 год :</v>
      </c>
      <c r="G21" s="70">
        <v>150</v>
      </c>
      <c r="H21" s="67" t="s">
        <v>40</v>
      </c>
      <c r="I21" s="322">
        <f>O20</f>
        <v>1930144.66</v>
      </c>
      <c r="J21" s="67" t="s">
        <v>41</v>
      </c>
      <c r="K21" s="322">
        <f>ROUND((G21%*I21),2)</f>
        <v>2895216.99</v>
      </c>
      <c r="L21" s="67" t="s">
        <v>41</v>
      </c>
      <c r="M21" s="70">
        <f>ROUNDDOWN((K21),-1)</f>
        <v>2895210</v>
      </c>
      <c r="N21" s="71" t="s">
        <v>37</v>
      </c>
      <c r="O21" s="61"/>
      <c r="P21" s="61"/>
      <c r="Q21" s="61"/>
      <c r="R21" s="61"/>
      <c r="S21" s="65"/>
      <c r="T21" s="442"/>
      <c r="U21" s="442"/>
      <c r="V21" s="442"/>
      <c r="W21" s="460"/>
    </row>
    <row r="22" spans="1:23" ht="15" x14ac:dyDescent="0.25">
      <c r="A22" s="454"/>
      <c r="B22" s="457"/>
      <c r="C22" s="64"/>
      <c r="D22" s="379"/>
      <c r="E22" s="379"/>
      <c r="F22" s="329" t="s">
        <v>381</v>
      </c>
      <c r="G22" s="278">
        <v>47116.37</v>
      </c>
      <c r="H22" s="67" t="s">
        <v>42</v>
      </c>
      <c r="I22" s="322">
        <v>213</v>
      </c>
      <c r="J22" s="67" t="s">
        <v>45</v>
      </c>
      <c r="K22" s="322">
        <v>5</v>
      </c>
      <c r="L22" s="67" t="s">
        <v>43</v>
      </c>
      <c r="M22" s="322">
        <v>0</v>
      </c>
      <c r="N22" s="67" t="s">
        <v>44</v>
      </c>
      <c r="O22" s="322">
        <f>ROUND((G22*(I22/K22+M22)),2)</f>
        <v>2007157.36</v>
      </c>
      <c r="P22" s="67" t="s">
        <v>37</v>
      </c>
      <c r="Q22" s="67"/>
      <c r="R22" s="65"/>
      <c r="S22" s="61"/>
      <c r="T22" s="442"/>
      <c r="U22" s="442"/>
      <c r="V22" s="442"/>
      <c r="W22" s="459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47 116,37 руб. х (213,00 шт.ед. : срок 5 лет + 0,00 шт.ед.) = 2 007 157,36 руб.) = 3 010 736,04 руб. = 3 010 730,00 руб.</v>
      </c>
    </row>
    <row r="23" spans="1:23" ht="21" customHeight="1" x14ac:dyDescent="0.25">
      <c r="A23" s="454"/>
      <c r="B23" s="457"/>
      <c r="C23" s="52"/>
      <c r="D23" s="379"/>
      <c r="E23" s="379"/>
      <c r="F23" s="68" t="str">
        <f>F16</f>
        <v>норматив на 2026 год :</v>
      </c>
      <c r="G23" s="70">
        <v>150</v>
      </c>
      <c r="H23" s="67" t="s">
        <v>40</v>
      </c>
      <c r="I23" s="322">
        <f>O22</f>
        <v>2007157.36</v>
      </c>
      <c r="J23" s="67" t="s">
        <v>41</v>
      </c>
      <c r="K23" s="129">
        <f>ROUND((G23%*I23),2)</f>
        <v>3010736.04</v>
      </c>
      <c r="L23" s="67" t="s">
        <v>41</v>
      </c>
      <c r="M23" s="70">
        <f>ROUNDDOWN((K23),-1)</f>
        <v>3010730</v>
      </c>
      <c r="N23" s="71" t="s">
        <v>37</v>
      </c>
      <c r="O23" s="61"/>
      <c r="P23" s="61"/>
      <c r="Q23" s="61"/>
      <c r="R23" s="61"/>
      <c r="S23" s="65"/>
      <c r="T23" s="442"/>
      <c r="U23" s="442"/>
      <c r="V23" s="442"/>
      <c r="W23" s="460"/>
    </row>
    <row r="24" spans="1:23" ht="158.25" customHeight="1" x14ac:dyDescent="0.25">
      <c r="A24" s="62">
        <v>2</v>
      </c>
      <c r="B24" s="257" t="s">
        <v>118</v>
      </c>
      <c r="C24" s="63"/>
      <c r="D24" s="248" t="s">
        <v>35</v>
      </c>
      <c r="E24" s="248" t="s">
        <v>35</v>
      </c>
      <c r="F24" s="439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251">
        <f>SUM(T25,T81,T106,T126,T181)</f>
        <v>15142204</v>
      </c>
      <c r="U24" s="251">
        <f t="shared" ref="U24:V24" si="2">SUM(U25,U81,U106,U126,U181)</f>
        <v>15810400</v>
      </c>
      <c r="V24" s="251">
        <f t="shared" si="2"/>
        <v>16497869</v>
      </c>
      <c r="W24" s="319" t="str">
        <f>"Нормативные "&amp;TEXT(B24,"0")&amp;" включают в себя:
нормативные "&amp;TEXT(B25,"0")&amp;";
нормативные "&amp;TEXT(B81,"0")&amp;";
нормативные "&amp;TEXT(B106,"0")&amp;";
нормативные "&amp;TEXT(B126,"0")&amp;";
нормативные "&amp;TEXT(B181,"0")&amp;""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25" spans="1:23" ht="137.25" customHeight="1" x14ac:dyDescent="0.25">
      <c r="A25" s="283" t="s">
        <v>9</v>
      </c>
      <c r="B25" s="316" t="s">
        <v>117</v>
      </c>
      <c r="C25" s="52"/>
      <c r="D25" s="248" t="s">
        <v>35</v>
      </c>
      <c r="E25" s="248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251">
        <f>T26+T31+T36+T41+T46+T51+T56+T61+T66+T71+T76</f>
        <v>554990</v>
      </c>
      <c r="U25" s="251">
        <f>U26+U31+U36+U41+U46+U51+U56+U61+U66+U71+U76</f>
        <v>580360</v>
      </c>
      <c r="V25" s="251">
        <f>V26+V31+V36+V41+V46+V51+V56+V61+V66+V71+V76</f>
        <v>606890</v>
      </c>
      <c r="W25" s="319" t="str">
        <f>"Нормативные "&amp;TEXT(B25,"0")&amp;" включают в себя:
нормативные "&amp;TEXT(B26,"0")&amp;";   нормативные "&amp;TEXT(B31,"0")&amp;";  нормативные "&amp;TEXT(B36,"0")&amp;";  нормативные "&amp;TEXT(B41,"0")&amp;";  нормативные "&amp;TEXT(B46,"0")&amp;";  нормативные "&amp;TEXT(B51,"0")&amp;";  нормативные "&amp;TEXT(B56,"0")&amp;";  нормативные "&amp;TEXT(B61,"0")&amp;";   нормативные "&amp;TEXT(B66,"0")&amp;";  нормативные "&amp;TEXT(B71,"0")&amp;"; нормативные "&amp;TEXT(B76,"0")&amp;""</f>
        <v>Нормативные затраты на содержание имущества включают в себя:
нормативные затраты на  техническое обслуживание и ремонт  транспортных средств;   нормативные затраты на технический осмотр автомобиля;  нормативные затраты на ремонт автомобиля;  нормативные затраты по  техническому обслуживанию систем кондиционирования;  нормативные затраты по ремонту систем кондиционирования;  нормативные затраты по техническому обслуживанию охранно-тревожной сигнализации;  нормативные затраты по техническому обслуживанию счетчика банкнот;  нормативные затраты по вывозу и утилизации отработанных картриджей;   нормативные затраты по вывозу и утилизации огнетушителей;  нормативные затраты на перезарядку огнетушителей; нормативные затраты на перетяжку мебели</v>
      </c>
    </row>
    <row r="26" spans="1:23" ht="120" customHeight="1" x14ac:dyDescent="0.25">
      <c r="A26" s="375" t="s">
        <v>10</v>
      </c>
      <c r="B26" s="461" t="s">
        <v>388</v>
      </c>
      <c r="C26" s="64"/>
      <c r="D26" s="378">
        <v>225</v>
      </c>
      <c r="E26" s="378">
        <v>244</v>
      </c>
      <c r="F26" s="380" t="s">
        <v>246</v>
      </c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65"/>
      <c r="T26" s="381">
        <f>O28</f>
        <v>17480</v>
      </c>
      <c r="U26" s="381">
        <f>O29</f>
        <v>18280</v>
      </c>
      <c r="V26" s="381">
        <f>O30</f>
        <v>19120</v>
      </c>
      <c r="W26" s="334" t="s">
        <v>389</v>
      </c>
    </row>
    <row r="27" spans="1:23" ht="18" customHeight="1" outlineLevel="1" x14ac:dyDescent="0.25">
      <c r="A27" s="375"/>
      <c r="B27" s="462"/>
      <c r="C27" s="64"/>
      <c r="D27" s="379"/>
      <c r="E27" s="384"/>
      <c r="F27" s="61">
        <v>2022</v>
      </c>
      <c r="G27" s="325">
        <v>1</v>
      </c>
      <c r="H27" s="67" t="s">
        <v>81</v>
      </c>
      <c r="I27" s="325">
        <v>1</v>
      </c>
      <c r="J27" s="67" t="s">
        <v>73</v>
      </c>
      <c r="K27" s="325"/>
      <c r="L27" s="67" t="s">
        <v>41</v>
      </c>
      <c r="M27" s="325">
        <f>ROUND((G27*I27*K27),0)</f>
        <v>0</v>
      </c>
      <c r="N27" s="67" t="s">
        <v>37</v>
      </c>
      <c r="O27" s="67"/>
      <c r="P27" s="67"/>
      <c r="Q27" s="67"/>
      <c r="R27" s="65"/>
      <c r="S27" s="65"/>
      <c r="T27" s="381"/>
      <c r="U27" s="381"/>
      <c r="V27" s="381"/>
    </row>
    <row r="28" spans="1:23" ht="30" customHeight="1" x14ac:dyDescent="0.25">
      <c r="A28" s="375"/>
      <c r="B28" s="462"/>
      <c r="C28" s="64"/>
      <c r="D28" s="379"/>
      <c r="E28" s="384"/>
      <c r="F28" s="68" t="str">
        <f>F14</f>
        <v>норматив на 2024 год :</v>
      </c>
      <c r="G28" s="325">
        <v>1</v>
      </c>
      <c r="H28" s="65" t="s">
        <v>254</v>
      </c>
      <c r="I28" s="325">
        <v>1</v>
      </c>
      <c r="J28" s="67" t="str">
        <f>J27</f>
        <v>раз х средняя цена</v>
      </c>
      <c r="K28" s="330">
        <f>16666.67*1.0487</f>
        <v>17478.336828999996</v>
      </c>
      <c r="L28" s="67" t="s">
        <v>41</v>
      </c>
      <c r="M28" s="325">
        <f>ROUND((G28*I28*K28),0)</f>
        <v>17478</v>
      </c>
      <c r="N28" s="71" t="s">
        <v>37</v>
      </c>
      <c r="O28" s="70">
        <f>ROUNDUP((M28),-1)</f>
        <v>17480</v>
      </c>
      <c r="P28" s="71" t="s">
        <v>37</v>
      </c>
      <c r="Q28" s="72"/>
      <c r="R28" s="72"/>
      <c r="S28" s="65"/>
      <c r="T28" s="381"/>
      <c r="U28" s="381"/>
      <c r="V28" s="381"/>
      <c r="W28" s="324" t="str">
        <f>""&amp;TEXT(I28,"0,0")&amp;" авт. х "&amp;TEXT(I28,"0,0")&amp;" раз х "&amp;TEXT(ROUND((K28),2),"0 000,00")&amp;" руб. = "&amp;TEXT(ROUND((M28),2),"0 000,00")&amp;" руб. = "&amp;TEXT(O28,"0 000,00")&amp;" руб."</f>
        <v>1,0 авт. х 1,0 раз х 17 478,34 руб. = 17 478,00 руб. = 17 480,00 руб.</v>
      </c>
    </row>
    <row r="29" spans="1:23" ht="30" customHeight="1" x14ac:dyDescent="0.25">
      <c r="A29" s="375"/>
      <c r="B29" s="462"/>
      <c r="C29" s="64"/>
      <c r="D29" s="379"/>
      <c r="E29" s="384"/>
      <c r="F29" s="68" t="str">
        <f>F15</f>
        <v>норматив на 2025 год :</v>
      </c>
      <c r="G29" s="325">
        <v>1</v>
      </c>
      <c r="H29" s="67" t="str">
        <f>H28</f>
        <v xml:space="preserve">авт.  </v>
      </c>
      <c r="I29" s="325">
        <v>1</v>
      </c>
      <c r="J29" s="67" t="str">
        <f>J27</f>
        <v>раз х средняя цена</v>
      </c>
      <c r="K29" s="330">
        <f>K28*1.0457</f>
        <v>18277.096822085296</v>
      </c>
      <c r="L29" s="67" t="s">
        <v>41</v>
      </c>
      <c r="M29" s="325">
        <f>ROUND((G29*I29*K29),0)</f>
        <v>18277</v>
      </c>
      <c r="N29" s="71" t="s">
        <v>37</v>
      </c>
      <c r="O29" s="70">
        <f>ROUNDUP((M29),-1)</f>
        <v>18280</v>
      </c>
      <c r="P29" s="71" t="s">
        <v>37</v>
      </c>
      <c r="Q29" s="72"/>
      <c r="R29" s="72"/>
      <c r="S29" s="72"/>
      <c r="T29" s="381"/>
      <c r="U29" s="381"/>
      <c r="V29" s="381"/>
      <c r="W29" s="324" t="str">
        <f t="shared" ref="W29:W30" si="3">""&amp;TEXT(I29,"0,0")&amp;" авт. х "&amp;TEXT(I29,"0,0")&amp;" раз х "&amp;TEXT(ROUND((K29),2),"0 000,00")&amp;" руб. = "&amp;TEXT(ROUND((M29),2),"0 000,00")&amp;" руб. = "&amp;TEXT(O29,"0 000,00")&amp;" руб."</f>
        <v>1,0 авт. х 1,0 раз х 18 277,10 руб. = 18 277,00 руб. = 18 280,00 руб.</v>
      </c>
    </row>
    <row r="30" spans="1:23" ht="30" customHeight="1" x14ac:dyDescent="0.25">
      <c r="A30" s="375"/>
      <c r="B30" s="462"/>
      <c r="C30" s="64"/>
      <c r="D30" s="379"/>
      <c r="E30" s="384"/>
      <c r="F30" s="68" t="str">
        <f>F16</f>
        <v>норматив на 2026 год :</v>
      </c>
      <c r="G30" s="325">
        <v>1</v>
      </c>
      <c r="H30" s="67" t="str">
        <f>H28</f>
        <v xml:space="preserve">авт.  </v>
      </c>
      <c r="I30" s="325">
        <v>1</v>
      </c>
      <c r="J30" s="67" t="str">
        <f>J27</f>
        <v>раз х средняя цена</v>
      </c>
      <c r="K30" s="330">
        <f>K29*1.0457</f>
        <v>19112.360146854597</v>
      </c>
      <c r="L30" s="67" t="s">
        <v>41</v>
      </c>
      <c r="M30" s="325">
        <f>ROUND((G30*I30*K30),0)</f>
        <v>19112</v>
      </c>
      <c r="N30" s="71" t="s">
        <v>37</v>
      </c>
      <c r="O30" s="70">
        <f>ROUNDUP((M30),-1)</f>
        <v>19120</v>
      </c>
      <c r="P30" s="71" t="s">
        <v>37</v>
      </c>
      <c r="Q30" s="70"/>
      <c r="R30" s="71"/>
      <c r="S30" s="71"/>
      <c r="T30" s="381"/>
      <c r="U30" s="381"/>
      <c r="V30" s="381"/>
      <c r="W30" s="324" t="str">
        <f t="shared" si="3"/>
        <v>1,0 авт. х 1,0 раз х 19 112,36 руб. = 19 112,00 руб. = 19 120,00 руб.</v>
      </c>
    </row>
    <row r="31" spans="1:23" ht="120.75" customHeight="1" x14ac:dyDescent="0.25">
      <c r="A31" s="375" t="s">
        <v>11</v>
      </c>
      <c r="B31" s="376" t="s">
        <v>114</v>
      </c>
      <c r="C31" s="64"/>
      <c r="D31" s="378">
        <v>225</v>
      </c>
      <c r="E31" s="378">
        <v>244</v>
      </c>
      <c r="F31" s="380" t="s">
        <v>245</v>
      </c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65"/>
      <c r="T31" s="381">
        <f>O33</f>
        <v>1380</v>
      </c>
      <c r="U31" s="381">
        <f>O34</f>
        <v>1450</v>
      </c>
      <c r="V31" s="381">
        <f>O35</f>
        <v>1510</v>
      </c>
      <c r="W31" s="319" t="s">
        <v>82</v>
      </c>
    </row>
    <row r="32" spans="1:23" ht="21.75" customHeight="1" outlineLevel="1" x14ac:dyDescent="0.25">
      <c r="A32" s="375"/>
      <c r="B32" s="377"/>
      <c r="C32" s="64"/>
      <c r="D32" s="379"/>
      <c r="E32" s="379"/>
      <c r="F32" s="61">
        <v>2022</v>
      </c>
      <c r="G32" s="322">
        <v>1</v>
      </c>
      <c r="H32" s="67" t="s">
        <v>81</v>
      </c>
      <c r="I32" s="322">
        <v>1</v>
      </c>
      <c r="J32" s="67" t="s">
        <v>255</v>
      </c>
      <c r="K32" s="322">
        <v>1215.02</v>
      </c>
      <c r="L32" s="67" t="s">
        <v>41</v>
      </c>
      <c r="M32" s="322">
        <f>ROUND((G32*I32*K32),2)</f>
        <v>1215.02</v>
      </c>
      <c r="N32" s="67" t="s">
        <v>37</v>
      </c>
      <c r="O32" s="70">
        <f>ROUNDUP((M32),-1)</f>
        <v>1220</v>
      </c>
      <c r="P32" s="67"/>
      <c r="Q32" s="67"/>
      <c r="R32" s="65"/>
      <c r="S32" s="65"/>
      <c r="T32" s="381"/>
      <c r="U32" s="381"/>
      <c r="V32" s="381"/>
    </row>
    <row r="33" spans="1:23" ht="26.25" customHeight="1" x14ac:dyDescent="0.25">
      <c r="A33" s="375"/>
      <c r="B33" s="377"/>
      <c r="C33" s="64"/>
      <c r="D33" s="379"/>
      <c r="E33" s="379"/>
      <c r="F33" s="68" t="str">
        <f>F14</f>
        <v>норматив на 2024 год :</v>
      </c>
      <c r="G33" s="322">
        <v>1</v>
      </c>
      <c r="H33" s="67" t="s">
        <v>81</v>
      </c>
      <c r="I33" s="69">
        <v>1</v>
      </c>
      <c r="J33" s="67" t="str">
        <f>J32</f>
        <v xml:space="preserve">раз х средняя цена </v>
      </c>
      <c r="K33" s="330">
        <f>K32*1.0822*1.0487</f>
        <v>1378.9300131627999</v>
      </c>
      <c r="L33" s="67" t="s">
        <v>41</v>
      </c>
      <c r="M33" s="322">
        <f>ROUND((G33*I33*K33),0)</f>
        <v>1379</v>
      </c>
      <c r="N33" s="71" t="s">
        <v>37</v>
      </c>
      <c r="O33" s="70">
        <f>ROUNDUP((M33),-1)</f>
        <v>1380</v>
      </c>
      <c r="P33" s="71" t="s">
        <v>37</v>
      </c>
      <c r="Q33" s="72"/>
      <c r="R33" s="72"/>
      <c r="S33" s="65"/>
      <c r="T33" s="381"/>
      <c r="U33" s="381"/>
      <c r="V33" s="381"/>
      <c r="W33" s="319" t="str">
        <f>""&amp;TEXT(G33,"0,0")&amp;" авт. х "&amp;TEXT(I33,"0,0")&amp;" раз х "&amp;TEXT(ROUND((K33),2),"000,00")&amp;" руб. = "&amp;TEXT(ROUND((M33),2),"000,00")&amp;" руб. = "&amp;TEXT(O33,"0 000,00")&amp;" руб."</f>
        <v>1,0 авт. х 1,0 раз х 1378,93 руб. = 1379,00 руб. = 1 380,00 руб.</v>
      </c>
    </row>
    <row r="34" spans="1:23" ht="26.25" customHeight="1" x14ac:dyDescent="0.25">
      <c r="A34" s="375"/>
      <c r="B34" s="377"/>
      <c r="C34" s="64"/>
      <c r="D34" s="379"/>
      <c r="E34" s="379"/>
      <c r="F34" s="68" t="str">
        <f>F15</f>
        <v>норматив на 2025 год :</v>
      </c>
      <c r="G34" s="322">
        <v>1</v>
      </c>
      <c r="H34" s="67" t="s">
        <v>81</v>
      </c>
      <c r="I34" s="69">
        <v>1</v>
      </c>
      <c r="J34" s="67" t="str">
        <f>J32</f>
        <v xml:space="preserve">раз х средняя цена </v>
      </c>
      <c r="K34" s="330">
        <f>K33*1.0457</f>
        <v>1441.9471147643401</v>
      </c>
      <c r="L34" s="67" t="s">
        <v>41</v>
      </c>
      <c r="M34" s="322">
        <f>ROUND((G34*I34*K34),0)</f>
        <v>1442</v>
      </c>
      <c r="N34" s="67" t="s">
        <v>41</v>
      </c>
      <c r="O34" s="70">
        <f>ROUNDUP((M34),-1)</f>
        <v>1450</v>
      </c>
      <c r="P34" s="71" t="s">
        <v>37</v>
      </c>
      <c r="Q34" s="72"/>
      <c r="R34" s="72"/>
      <c r="S34" s="65"/>
      <c r="T34" s="381"/>
      <c r="U34" s="381"/>
      <c r="V34" s="381"/>
      <c r="W34" s="319" t="str">
        <f t="shared" ref="W34:W35" si="4">""&amp;TEXT(G34,"0,0")&amp;" авт. х "&amp;TEXT(I34,"0,0")&amp;" раз х "&amp;TEXT(ROUND((K34),2),"000,00")&amp;" руб. = "&amp;TEXT(ROUND((M34),2),"000,00")&amp;" руб. = "&amp;TEXT(O34,"0 000,00")&amp;" руб."</f>
        <v>1,0 авт. х 1,0 раз х 1441,95 руб. = 1442,00 руб. = 1 450,00 руб.</v>
      </c>
    </row>
    <row r="35" spans="1:23" ht="26.25" customHeight="1" x14ac:dyDescent="0.25">
      <c r="A35" s="375"/>
      <c r="B35" s="377"/>
      <c r="C35" s="64"/>
      <c r="D35" s="379"/>
      <c r="E35" s="379"/>
      <c r="F35" s="68" t="str">
        <f>F16</f>
        <v>норматив на 2026 год :</v>
      </c>
      <c r="G35" s="322">
        <v>1</v>
      </c>
      <c r="H35" s="67" t="s">
        <v>81</v>
      </c>
      <c r="I35" s="69">
        <v>1</v>
      </c>
      <c r="J35" s="67" t="str">
        <f>J32</f>
        <v xml:space="preserve">раз х средняя цена </v>
      </c>
      <c r="K35" s="330">
        <f>K34*1.0457</f>
        <v>1507.8440979090706</v>
      </c>
      <c r="L35" s="67" t="s">
        <v>41</v>
      </c>
      <c r="M35" s="322">
        <f>ROUND((G35*I35*K35),0)</f>
        <v>1508</v>
      </c>
      <c r="N35" s="67" t="s">
        <v>25</v>
      </c>
      <c r="O35" s="70">
        <f>ROUNDUP((M35),-1)</f>
        <v>1510</v>
      </c>
      <c r="P35" s="71" t="s">
        <v>37</v>
      </c>
      <c r="Q35" s="70"/>
      <c r="R35" s="71"/>
      <c r="S35" s="65"/>
      <c r="T35" s="382"/>
      <c r="U35" s="382"/>
      <c r="V35" s="382"/>
      <c r="W35" s="319" t="str">
        <f t="shared" si="4"/>
        <v>1,0 авт. х 1,0 раз х 1507,84 руб. = 1508,00 руб. = 1 510,00 руб.</v>
      </c>
    </row>
    <row r="36" spans="1:23" ht="117.75" customHeight="1" x14ac:dyDescent="0.25">
      <c r="A36" s="383" t="s">
        <v>203</v>
      </c>
      <c r="B36" s="376" t="s">
        <v>202</v>
      </c>
      <c r="C36" s="64"/>
      <c r="D36" s="378">
        <v>225</v>
      </c>
      <c r="E36" s="378">
        <v>244</v>
      </c>
      <c r="F36" s="380" t="s">
        <v>246</v>
      </c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65"/>
      <c r="T36" s="381">
        <f>O38</f>
        <v>12590</v>
      </c>
      <c r="U36" s="381">
        <f>O39</f>
        <v>13160</v>
      </c>
      <c r="V36" s="381">
        <f>O40</f>
        <v>13770</v>
      </c>
      <c r="W36" s="319" t="s">
        <v>212</v>
      </c>
    </row>
    <row r="37" spans="1:23" ht="21.75" customHeight="1" outlineLevel="1" x14ac:dyDescent="0.25">
      <c r="A37" s="383"/>
      <c r="B37" s="377"/>
      <c r="C37" s="64"/>
      <c r="D37" s="379"/>
      <c r="E37" s="379"/>
      <c r="F37" s="61"/>
      <c r="G37" s="322">
        <v>1</v>
      </c>
      <c r="H37" s="67" t="s">
        <v>81</v>
      </c>
      <c r="I37" s="322">
        <v>1</v>
      </c>
      <c r="J37" s="67" t="s">
        <v>255</v>
      </c>
      <c r="K37" s="322"/>
      <c r="L37" s="67" t="s">
        <v>41</v>
      </c>
      <c r="M37" s="322">
        <f>ROUND((G37*I37*K37),0)</f>
        <v>0</v>
      </c>
      <c r="N37" s="67" t="s">
        <v>37</v>
      </c>
      <c r="O37" s="70">
        <f>ROUNDUP((M37),-1)</f>
        <v>0</v>
      </c>
      <c r="P37" s="67"/>
      <c r="Q37" s="67"/>
      <c r="R37" s="65"/>
      <c r="S37" s="65"/>
      <c r="T37" s="381"/>
      <c r="U37" s="381"/>
      <c r="V37" s="381"/>
    </row>
    <row r="38" spans="1:23" ht="27" customHeight="1" x14ac:dyDescent="0.25">
      <c r="A38" s="383"/>
      <c r="B38" s="377"/>
      <c r="C38" s="64"/>
      <c r="D38" s="379"/>
      <c r="E38" s="379"/>
      <c r="F38" s="68" t="str">
        <f>F14</f>
        <v>норматив на 2024 год :</v>
      </c>
      <c r="G38" s="322">
        <v>1</v>
      </c>
      <c r="H38" s="67" t="s">
        <v>81</v>
      </c>
      <c r="I38" s="69">
        <v>1</v>
      </c>
      <c r="J38" s="67" t="str">
        <f>J37</f>
        <v xml:space="preserve">раз х средняя цена </v>
      </c>
      <c r="K38" s="330">
        <f>12000*1.0487</f>
        <v>12584.4</v>
      </c>
      <c r="L38" s="67" t="s">
        <v>41</v>
      </c>
      <c r="M38" s="322">
        <f>ROUND((G38*I38*K38),0)</f>
        <v>12584</v>
      </c>
      <c r="N38" s="71" t="s">
        <v>37</v>
      </c>
      <c r="O38" s="70">
        <f>ROUNDUP((M38),-1)</f>
        <v>12590</v>
      </c>
      <c r="P38" s="71" t="s">
        <v>37</v>
      </c>
      <c r="Q38" s="72"/>
      <c r="R38" s="72"/>
      <c r="S38" s="65"/>
      <c r="T38" s="381"/>
      <c r="U38" s="381"/>
      <c r="V38" s="381"/>
      <c r="W38" s="319" t="str">
        <f>""&amp;TEXT(G38,"0,0")&amp;" авт. х "&amp;TEXT(I38,"0,0")&amp;" раз. х  "&amp;TEXT((K38),"000,00")&amp;" руб. = "&amp;TEXT((M38),"0 000,00")&amp;" руб. = "&amp;TEXT(O38,"0 000,00")&amp;" руб."</f>
        <v>1,0 авт. х 1,0 раз. х  12584,40 руб. = 12 584,00 руб. = 12 590,00 руб.</v>
      </c>
    </row>
    <row r="39" spans="1:23" ht="27" customHeight="1" x14ac:dyDescent="0.25">
      <c r="A39" s="383"/>
      <c r="B39" s="377"/>
      <c r="C39" s="64"/>
      <c r="D39" s="379"/>
      <c r="E39" s="379"/>
      <c r="F39" s="68" t="str">
        <f>F15</f>
        <v>норматив на 2025 год :</v>
      </c>
      <c r="G39" s="322">
        <v>1</v>
      </c>
      <c r="H39" s="67" t="s">
        <v>81</v>
      </c>
      <c r="I39" s="69">
        <v>1</v>
      </c>
      <c r="J39" s="67" t="str">
        <f>J37</f>
        <v xml:space="preserve">раз х средняя цена </v>
      </c>
      <c r="K39" s="330">
        <f>K38*1.0457</f>
        <v>13159.507080000001</v>
      </c>
      <c r="L39" s="67" t="s">
        <v>41</v>
      </c>
      <c r="M39" s="322">
        <f>ROUND((G39*I39*K39),0)</f>
        <v>13160</v>
      </c>
      <c r="N39" s="71" t="s">
        <v>37</v>
      </c>
      <c r="O39" s="70">
        <f>ROUNDUP((M39),-1)</f>
        <v>13160</v>
      </c>
      <c r="P39" s="71" t="s">
        <v>37</v>
      </c>
      <c r="Q39" s="72"/>
      <c r="R39" s="72"/>
      <c r="S39" s="65"/>
      <c r="T39" s="381"/>
      <c r="U39" s="381"/>
      <c r="V39" s="381"/>
      <c r="W39" s="319" t="str">
        <f>""&amp;TEXT(G39,"0,0")&amp;" авт. х "&amp;TEXT(I39,"0,0")&amp;" раз. х  "&amp;TEXT((K39),"000,00")&amp;" руб. = "&amp;TEXT((M39),"0 000,00")&amp;" руб. = "&amp;TEXT(O39,"0 000,00")&amp;" руб."</f>
        <v>1,0 авт. х 1,0 раз. х  13159,51 руб. = 13 160,00 руб. = 13 160,00 руб.</v>
      </c>
    </row>
    <row r="40" spans="1:23" ht="27" customHeight="1" x14ac:dyDescent="0.25">
      <c r="A40" s="383"/>
      <c r="B40" s="377"/>
      <c r="C40" s="64"/>
      <c r="D40" s="379"/>
      <c r="E40" s="379"/>
      <c r="F40" s="68" t="str">
        <f>F16</f>
        <v>норматив на 2026 год :</v>
      </c>
      <c r="G40" s="322">
        <v>1</v>
      </c>
      <c r="H40" s="67" t="s">
        <v>81</v>
      </c>
      <c r="I40" s="69">
        <v>1</v>
      </c>
      <c r="J40" s="67" t="str">
        <f>J37</f>
        <v xml:space="preserve">раз х средняя цена </v>
      </c>
      <c r="K40" s="330">
        <f>K39*1.0457</f>
        <v>13760.896553556002</v>
      </c>
      <c r="L40" s="67" t="s">
        <v>41</v>
      </c>
      <c r="M40" s="322">
        <f>ROUND((G40*I40*K40),0)</f>
        <v>13761</v>
      </c>
      <c r="N40" s="71" t="s">
        <v>37</v>
      </c>
      <c r="O40" s="70">
        <f>ROUNDUP((M40),-1)</f>
        <v>13770</v>
      </c>
      <c r="P40" s="71" t="s">
        <v>37</v>
      </c>
      <c r="Q40" s="70"/>
      <c r="R40" s="71"/>
      <c r="S40" s="65"/>
      <c r="T40" s="382"/>
      <c r="U40" s="382"/>
      <c r="V40" s="382"/>
      <c r="W40" s="319" t="str">
        <f>""&amp;TEXT(G40,"0,0")&amp;" авт. х "&amp;TEXT(I40,"0,0")&amp;" раз. х  "&amp;TEXT((K40),"000,00")&amp;" руб. = "&amp;TEXT((M40),"0 000,00")&amp;" руб. = "&amp;TEXT(O40,"0 000,00")&amp;" руб."</f>
        <v>1,0 авт. х 1,0 раз. х  13760,90 руб. = 13 761,00 руб. = 13 770,00 руб.</v>
      </c>
    </row>
    <row r="41" spans="1:23" s="75" customFormat="1" ht="135.75" customHeight="1" x14ac:dyDescent="0.25">
      <c r="A41" s="383" t="s">
        <v>341</v>
      </c>
      <c r="B41" s="376" t="s">
        <v>233</v>
      </c>
      <c r="C41" s="56"/>
      <c r="D41" s="378">
        <v>225</v>
      </c>
      <c r="E41" s="378">
        <v>244</v>
      </c>
      <c r="F41" s="380" t="s">
        <v>244</v>
      </c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22"/>
      <c r="T41" s="381">
        <f>O43</f>
        <v>170240</v>
      </c>
      <c r="U41" s="381">
        <f>O44</f>
        <v>178020</v>
      </c>
      <c r="V41" s="381">
        <f>O45</f>
        <v>186160</v>
      </c>
      <c r="W41" s="319" t="s">
        <v>84</v>
      </c>
    </row>
    <row r="42" spans="1:23" ht="15" customHeight="1" outlineLevel="1" x14ac:dyDescent="0.25">
      <c r="A42" s="383"/>
      <c r="B42" s="377"/>
      <c r="C42" s="64"/>
      <c r="D42" s="379"/>
      <c r="E42" s="384"/>
      <c r="F42" s="76"/>
      <c r="G42" s="322"/>
      <c r="H42" s="67" t="s">
        <v>77</v>
      </c>
      <c r="I42" s="322">
        <v>1</v>
      </c>
      <c r="J42" s="67" t="s">
        <v>67</v>
      </c>
      <c r="K42" s="322"/>
      <c r="L42" s="67" t="s">
        <v>41</v>
      </c>
      <c r="M42" s="322"/>
      <c r="N42" s="67" t="s">
        <v>37</v>
      </c>
      <c r="P42" s="77" t="s">
        <v>145</v>
      </c>
      <c r="Q42" s="78"/>
      <c r="R42" s="61"/>
      <c r="S42" s="65"/>
      <c r="T42" s="381"/>
      <c r="U42" s="381"/>
      <c r="V42" s="381"/>
      <c r="W42" s="319"/>
    </row>
    <row r="43" spans="1:23" ht="28.5" customHeight="1" x14ac:dyDescent="0.25">
      <c r="A43" s="383"/>
      <c r="B43" s="377"/>
      <c r="C43" s="64"/>
      <c r="D43" s="379"/>
      <c r="E43" s="384"/>
      <c r="F43" s="68" t="str">
        <f>F14</f>
        <v>норматив на 2024 год :</v>
      </c>
      <c r="G43" s="322">
        <v>26</v>
      </c>
      <c r="H43" s="67" t="s">
        <v>77</v>
      </c>
      <c r="I43" s="69">
        <v>1</v>
      </c>
      <c r="J43" s="67" t="s">
        <v>67</v>
      </c>
      <c r="K43" s="331">
        <f>6243.6*1.0487</f>
        <v>6547.6633200000006</v>
      </c>
      <c r="L43" s="67" t="s">
        <v>41</v>
      </c>
      <c r="M43" s="322">
        <f>ROUND((G43*I43*K43),0)</f>
        <v>170239</v>
      </c>
      <c r="N43" s="67" t="s">
        <v>37</v>
      </c>
      <c r="O43" s="70">
        <f>ROUNDUP((M43),-1)</f>
        <v>170240</v>
      </c>
      <c r="P43" s="71" t="s">
        <v>37</v>
      </c>
      <c r="Q43" s="72"/>
      <c r="R43" s="61"/>
      <c r="S43" s="72"/>
      <c r="T43" s="381"/>
      <c r="U43" s="381"/>
      <c r="V43" s="381"/>
      <c r="W43" s="319" t="str">
        <f>""&amp;TEXT(G43,"0,0")&amp;" шт. х "&amp;TEXT(I43,"0,0")&amp;" раз. х  "&amp;TEXT((K43),"000,00")&amp;" руб. = "&amp;TEXT((M43),"0 000,00")&amp;" руб. = "&amp;TEXT(O43,"0 000,00")&amp;" руб."</f>
        <v>26,0 шт. х 1,0 раз. х  6547,66 руб. = 170 239,00 руб. = 170 240,00 руб.</v>
      </c>
    </row>
    <row r="44" spans="1:23" ht="28.5" customHeight="1" x14ac:dyDescent="0.25">
      <c r="A44" s="383"/>
      <c r="B44" s="377"/>
      <c r="C44" s="64"/>
      <c r="D44" s="379"/>
      <c r="E44" s="384"/>
      <c r="F44" s="68" t="str">
        <f>F15</f>
        <v>норматив на 2025 год :</v>
      </c>
      <c r="G44" s="322">
        <v>26</v>
      </c>
      <c r="H44" s="67" t="s">
        <v>77</v>
      </c>
      <c r="I44" s="69">
        <v>1</v>
      </c>
      <c r="J44" s="67" t="s">
        <v>67</v>
      </c>
      <c r="K44" s="278">
        <f>K43*1.0457</f>
        <v>6846.8915337240014</v>
      </c>
      <c r="L44" s="67" t="s">
        <v>41</v>
      </c>
      <c r="M44" s="322">
        <f>ROUND((G44*I44*K44),0)</f>
        <v>178019</v>
      </c>
      <c r="N44" s="67" t="s">
        <v>37</v>
      </c>
      <c r="O44" s="70">
        <f>ROUNDUP((M44),-1)</f>
        <v>178020</v>
      </c>
      <c r="P44" s="71" t="s">
        <v>37</v>
      </c>
      <c r="Q44" s="72"/>
      <c r="R44" s="61"/>
      <c r="S44" s="72"/>
      <c r="T44" s="381"/>
      <c r="U44" s="381"/>
      <c r="V44" s="381"/>
      <c r="W44" s="319" t="str">
        <f t="shared" ref="W44:W45" si="5">""&amp;TEXT(G44,"0,0")&amp;" шт. х "&amp;TEXT(I44,"0,0")&amp;" раз. х  "&amp;TEXT((K44),"000,00")&amp;" руб. = "&amp;TEXT((M44),"0 000,00")&amp;" руб. = "&amp;TEXT(O44,"0 000,00")&amp;" руб."</f>
        <v>26,0 шт. х 1,0 раз. х  6846,89 руб. = 178 019,00 руб. = 178 020,00 руб.</v>
      </c>
    </row>
    <row r="45" spans="1:23" ht="28.5" customHeight="1" x14ac:dyDescent="0.25">
      <c r="A45" s="383"/>
      <c r="B45" s="377"/>
      <c r="C45" s="64"/>
      <c r="D45" s="379"/>
      <c r="E45" s="384"/>
      <c r="F45" s="68" t="str">
        <f>F16</f>
        <v>норматив на 2026 год :</v>
      </c>
      <c r="G45" s="322">
        <v>26</v>
      </c>
      <c r="H45" s="67" t="s">
        <v>77</v>
      </c>
      <c r="I45" s="69">
        <v>1</v>
      </c>
      <c r="J45" s="67" t="s">
        <v>67</v>
      </c>
      <c r="K45" s="278">
        <f>K44*1.0457</f>
        <v>7159.7944768151892</v>
      </c>
      <c r="L45" s="67" t="s">
        <v>41</v>
      </c>
      <c r="M45" s="322">
        <f>ROUND((G45*I45*K45),0)</f>
        <v>186155</v>
      </c>
      <c r="N45" s="67" t="s">
        <v>37</v>
      </c>
      <c r="O45" s="70">
        <f>ROUNDUP((M45),-1)</f>
        <v>186160</v>
      </c>
      <c r="P45" s="71" t="s">
        <v>37</v>
      </c>
      <c r="Q45" s="70"/>
      <c r="R45" s="61"/>
      <c r="S45" s="71"/>
      <c r="T45" s="382"/>
      <c r="U45" s="382"/>
      <c r="V45" s="382"/>
      <c r="W45" s="319" t="str">
        <f t="shared" si="5"/>
        <v>26,0 шт. х 1,0 раз. х  7159,79 руб. = 186 155,00 руб. = 186 160,00 руб.</v>
      </c>
    </row>
    <row r="46" spans="1:23" s="75" customFormat="1" ht="124.5" customHeight="1" x14ac:dyDescent="0.25">
      <c r="A46" s="383" t="s">
        <v>342</v>
      </c>
      <c r="B46" s="376" t="s">
        <v>217</v>
      </c>
      <c r="C46" s="56"/>
      <c r="D46" s="378">
        <v>225</v>
      </c>
      <c r="E46" s="378">
        <v>244</v>
      </c>
      <c r="F46" s="380" t="s">
        <v>257</v>
      </c>
      <c r="G46" s="380"/>
      <c r="H46" s="380"/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322"/>
      <c r="T46" s="381">
        <f>O48</f>
        <v>20980</v>
      </c>
      <c r="U46" s="381">
        <f>O49</f>
        <v>21940</v>
      </c>
      <c r="V46" s="381">
        <f>O50</f>
        <v>22940</v>
      </c>
      <c r="W46" s="319" t="s">
        <v>378</v>
      </c>
    </row>
    <row r="47" spans="1:23" ht="27.75" customHeight="1" outlineLevel="1" x14ac:dyDescent="0.25">
      <c r="A47" s="383"/>
      <c r="B47" s="377"/>
      <c r="C47" s="64"/>
      <c r="D47" s="379"/>
      <c r="E47" s="384"/>
      <c r="F47" s="76">
        <v>2023</v>
      </c>
      <c r="G47" s="322">
        <v>1</v>
      </c>
      <c r="H47" s="67" t="s">
        <v>258</v>
      </c>
      <c r="I47" s="322">
        <v>1</v>
      </c>
      <c r="J47" s="67" t="s">
        <v>259</v>
      </c>
      <c r="K47" s="322"/>
      <c r="L47" s="67" t="s">
        <v>41</v>
      </c>
      <c r="M47" s="322">
        <f>ROUND((G47*I47*K47),0)</f>
        <v>0</v>
      </c>
      <c r="N47" s="67" t="s">
        <v>37</v>
      </c>
      <c r="O47" s="70">
        <f>ROUNDUP((M47),-1)</f>
        <v>0</v>
      </c>
      <c r="P47" s="71" t="s">
        <v>37</v>
      </c>
      <c r="Q47" s="78"/>
      <c r="R47" s="61"/>
      <c r="S47" s="65"/>
      <c r="T47" s="381"/>
      <c r="U47" s="381"/>
      <c r="V47" s="381"/>
      <c r="W47" s="319"/>
    </row>
    <row r="48" spans="1:23" ht="32.25" customHeight="1" x14ac:dyDescent="0.25">
      <c r="A48" s="383"/>
      <c r="B48" s="377"/>
      <c r="C48" s="64"/>
      <c r="D48" s="379"/>
      <c r="E48" s="384"/>
      <c r="F48" s="68" t="str">
        <f>F14</f>
        <v>норматив на 2024 год :</v>
      </c>
      <c r="G48" s="322">
        <v>1</v>
      </c>
      <c r="H48" s="67" t="s">
        <v>258</v>
      </c>
      <c r="I48" s="69">
        <v>1</v>
      </c>
      <c r="J48" s="67" t="s">
        <v>259</v>
      </c>
      <c r="K48" s="278">
        <f>20000*1.0487</f>
        <v>20974</v>
      </c>
      <c r="L48" s="67" t="s">
        <v>41</v>
      </c>
      <c r="M48" s="322">
        <f>ROUND((G48*I48*K48),0)</f>
        <v>20974</v>
      </c>
      <c r="N48" s="71" t="s">
        <v>37</v>
      </c>
      <c r="O48" s="70">
        <f>ROUNDUP((M48),-1)</f>
        <v>20980</v>
      </c>
      <c r="P48" s="71" t="s">
        <v>37</v>
      </c>
      <c r="Q48" s="72"/>
      <c r="R48" s="72"/>
      <c r="S48" s="65"/>
      <c r="T48" s="381"/>
      <c r="U48" s="381"/>
      <c r="V48" s="381"/>
      <c r="W48" s="319" t="str">
        <f>""&amp;TEXT(G48,"0,0")&amp;"  у.ед. х "&amp;TEXT(I48,"0,0")&amp;" раз х  "&amp;TEXT((K48),"000,00")&amp;" руб. = "&amp;TEXT((M48),"0 000,00")&amp;" руб. = "&amp;TEXT(O48,"0 000,00")&amp;" руб."</f>
        <v>1,0  у.ед. х 1,0 раз х  20974,00 руб. = 20 974,00 руб. = 20 980,00 руб.</v>
      </c>
    </row>
    <row r="49" spans="1:23" ht="24" customHeight="1" x14ac:dyDescent="0.25">
      <c r="A49" s="383"/>
      <c r="B49" s="377"/>
      <c r="C49" s="64"/>
      <c r="D49" s="379"/>
      <c r="E49" s="384"/>
      <c r="F49" s="68" t="str">
        <f>F15</f>
        <v>норматив на 2025 год :</v>
      </c>
      <c r="G49" s="322">
        <v>1</v>
      </c>
      <c r="H49" s="67" t="s">
        <v>258</v>
      </c>
      <c r="I49" s="69">
        <v>1</v>
      </c>
      <c r="J49" s="67" t="s">
        <v>259</v>
      </c>
      <c r="K49" s="330">
        <f>K48*1.0457</f>
        <v>21932.5118</v>
      </c>
      <c r="L49" s="67" t="s">
        <v>41</v>
      </c>
      <c r="M49" s="322">
        <f>ROUND((G49*I49*K49),0)</f>
        <v>21933</v>
      </c>
      <c r="N49" s="71" t="s">
        <v>37</v>
      </c>
      <c r="O49" s="70">
        <f>ROUNDUP((M49),-1)</f>
        <v>21940</v>
      </c>
      <c r="P49" s="71" t="s">
        <v>37</v>
      </c>
      <c r="Q49" s="72"/>
      <c r="R49" s="72"/>
      <c r="S49" s="65"/>
      <c r="T49" s="381"/>
      <c r="U49" s="381"/>
      <c r="V49" s="381"/>
      <c r="W49" s="319" t="str">
        <f>""&amp;TEXT(G49,"0,0")&amp;"  у.ед. х "&amp;TEXT(I49,"0,0")&amp;" раз х  "&amp;TEXT((K49),"000,00")&amp;" руб. = "&amp;TEXT((M49),"0 000,00")&amp;" руб. = "&amp;TEXT(O49,"0 000,00")&amp;" руб."</f>
        <v>1,0  у.ед. х 1,0 раз х  21932,51 руб. = 21 933,00 руб. = 21 940,00 руб.</v>
      </c>
    </row>
    <row r="50" spans="1:23" ht="28.5" customHeight="1" x14ac:dyDescent="0.25">
      <c r="A50" s="383"/>
      <c r="B50" s="377"/>
      <c r="C50" s="64"/>
      <c r="D50" s="379"/>
      <c r="E50" s="384"/>
      <c r="F50" s="68" t="str">
        <f>F16</f>
        <v>норматив на 2026 год :</v>
      </c>
      <c r="G50" s="322">
        <v>1</v>
      </c>
      <c r="H50" s="67" t="s">
        <v>258</v>
      </c>
      <c r="I50" s="69">
        <v>1</v>
      </c>
      <c r="J50" s="67" t="s">
        <v>259</v>
      </c>
      <c r="K50" s="330">
        <f>K49*1.0457</f>
        <v>22934.827589260003</v>
      </c>
      <c r="L50" s="67" t="s">
        <v>41</v>
      </c>
      <c r="M50" s="322">
        <f>ROUND((G50*I50*K50),0)</f>
        <v>22935</v>
      </c>
      <c r="N50" s="71" t="s">
        <v>37</v>
      </c>
      <c r="O50" s="70">
        <f>ROUNDUP((M50),-1)</f>
        <v>22940</v>
      </c>
      <c r="P50" s="71" t="s">
        <v>37</v>
      </c>
      <c r="Q50" s="70"/>
      <c r="R50" s="71"/>
      <c r="S50" s="65"/>
      <c r="T50" s="382"/>
      <c r="U50" s="382"/>
      <c r="V50" s="382"/>
      <c r="W50" s="319" t="str">
        <f>""&amp;TEXT(G50,"0,0")&amp;"  у.ед. х "&amp;TEXT(I50,"0,0")&amp;" раз х  "&amp;TEXT((K50),"000,00")&amp;" руб. = "&amp;TEXT((M50),"0 000,00")&amp;" руб. = "&amp;TEXT(O50,"0 000,00")&amp;" руб."</f>
        <v>1,0  у.ед. х 1,0 раз х  22934,83 руб. = 22 935,00 руб. = 22 940,00 руб.</v>
      </c>
    </row>
    <row r="51" spans="1:23" ht="134.25" customHeight="1" x14ac:dyDescent="0.25">
      <c r="A51" s="383" t="s">
        <v>343</v>
      </c>
      <c r="B51" s="376" t="s">
        <v>111</v>
      </c>
      <c r="C51" s="64"/>
      <c r="D51" s="378">
        <v>225</v>
      </c>
      <c r="E51" s="378">
        <v>244</v>
      </c>
      <c r="F51" s="380" t="s">
        <v>246</v>
      </c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0"/>
      <c r="S51" s="65"/>
      <c r="T51" s="381">
        <f>O53</f>
        <v>48230</v>
      </c>
      <c r="U51" s="381">
        <f>O54</f>
        <v>50440</v>
      </c>
      <c r="V51" s="381">
        <f>O55</f>
        <v>52740</v>
      </c>
      <c r="W51" s="319" t="s">
        <v>377</v>
      </c>
    </row>
    <row r="52" spans="1:23" ht="19.5" customHeight="1" outlineLevel="1" x14ac:dyDescent="0.25">
      <c r="A52" s="383"/>
      <c r="B52" s="377"/>
      <c r="C52" s="64"/>
      <c r="D52" s="379"/>
      <c r="E52" s="384"/>
      <c r="F52" s="61"/>
      <c r="G52" s="322">
        <v>8760</v>
      </c>
      <c r="H52" s="65" t="s">
        <v>375</v>
      </c>
      <c r="I52" s="322"/>
      <c r="J52" s="67" t="s">
        <v>250</v>
      </c>
      <c r="K52" s="322"/>
      <c r="L52" s="67" t="s">
        <v>41</v>
      </c>
      <c r="M52" s="322">
        <f>ROUND((G52*I52*K52),2)</f>
        <v>0</v>
      </c>
      <c r="N52" s="67" t="s">
        <v>37</v>
      </c>
      <c r="O52" s="67"/>
      <c r="P52" s="67"/>
      <c r="Q52" s="67"/>
      <c r="R52" s="65"/>
      <c r="S52" s="65"/>
      <c r="T52" s="381"/>
      <c r="U52" s="381"/>
      <c r="V52" s="381"/>
      <c r="W52" s="319"/>
    </row>
    <row r="53" spans="1:23" ht="21" customHeight="1" x14ac:dyDescent="0.25">
      <c r="A53" s="383"/>
      <c r="B53" s="377"/>
      <c r="C53" s="64"/>
      <c r="D53" s="379"/>
      <c r="E53" s="384"/>
      <c r="F53" s="68" t="str">
        <f>F14</f>
        <v>норматив на 2024 год :</v>
      </c>
      <c r="G53" s="322">
        <v>8760</v>
      </c>
      <c r="H53" s="65" t="s">
        <v>375</v>
      </c>
      <c r="I53" s="278">
        <f>5.25*1.0487</f>
        <v>5.5056750000000001</v>
      </c>
      <c r="J53" s="67" t="str">
        <f>J52</f>
        <v>руб. цена одного часа</v>
      </c>
      <c r="K53" s="322">
        <f t="shared" ref="K53:K55" si="6">I53*G53</f>
        <v>48229.713000000003</v>
      </c>
      <c r="L53" s="67" t="s">
        <v>41</v>
      </c>
      <c r="M53" s="322">
        <f t="shared" ref="M53:M55" si="7">ROUND((K53),0)</f>
        <v>48230</v>
      </c>
      <c r="N53" s="71" t="s">
        <v>37</v>
      </c>
      <c r="O53" s="70">
        <f>ROUNDUP((M53),-1)</f>
        <v>48230</v>
      </c>
      <c r="P53" s="71" t="s">
        <v>37</v>
      </c>
      <c r="Q53" s="72"/>
      <c r="R53" s="72"/>
      <c r="S53" s="65"/>
      <c r="T53" s="381"/>
      <c r="U53" s="381"/>
      <c r="V53" s="381"/>
      <c r="W53" s="319" t="str">
        <f>""&amp;TEXT(G53,"0,0")&amp;" шт. х "&amp;TEXT(I53,"0,0")&amp;" мес. х "&amp;TEXT(ROUND((K53),2),"0 000,00")&amp;" руб. = "&amp;TEXT(ROUND(((M53)),2),"0 000,00")&amp;" руб. = "&amp;TEXT(O53,"0 000,00")&amp;" руб."</f>
        <v>8760,0 шт. х 5,5 мес. х 48 229,71 руб. = 48 230,00 руб. = 48 230,00 руб.</v>
      </c>
    </row>
    <row r="54" spans="1:23" ht="21" customHeight="1" x14ac:dyDescent="0.25">
      <c r="A54" s="383"/>
      <c r="B54" s="377"/>
      <c r="C54" s="64"/>
      <c r="D54" s="379"/>
      <c r="E54" s="384"/>
      <c r="F54" s="68" t="str">
        <f>F15</f>
        <v>норматив на 2025 год :</v>
      </c>
      <c r="G54" s="322">
        <v>8760</v>
      </c>
      <c r="H54" s="65" t="s">
        <v>375</v>
      </c>
      <c r="I54" s="330">
        <f>I53*1.0457</f>
        <v>5.7572843475000006</v>
      </c>
      <c r="J54" s="67" t="str">
        <f t="shared" ref="J54:J55" si="8">J53</f>
        <v>руб. цена одного часа</v>
      </c>
      <c r="K54" s="322">
        <f t="shared" si="6"/>
        <v>50433.810884100007</v>
      </c>
      <c r="L54" s="67" t="s">
        <v>41</v>
      </c>
      <c r="M54" s="322">
        <f t="shared" si="7"/>
        <v>50434</v>
      </c>
      <c r="N54" s="71" t="s">
        <v>37</v>
      </c>
      <c r="O54" s="70">
        <f>ROUNDUP((M54),-1)</f>
        <v>50440</v>
      </c>
      <c r="P54" s="71" t="s">
        <v>37</v>
      </c>
      <c r="Q54" s="72"/>
      <c r="R54" s="72"/>
      <c r="S54" s="65"/>
      <c r="T54" s="381"/>
      <c r="U54" s="381"/>
      <c r="V54" s="381"/>
      <c r="W54" s="319" t="str">
        <f>""&amp;TEXT(G54,"0,0")&amp;" шт. х "&amp;TEXT(I54,"0,0")&amp;" мес. х "&amp;TEXT(ROUND((K54),2),"0 000,00")&amp;" руб. = "&amp;TEXT(ROUND(((M54)),2),"0 000,00")&amp;" руб. = "&amp;TEXT(O54,"0 000,00")&amp;" руб."</f>
        <v>8760,0 шт. х 5,8 мес. х 50 433,81 руб. = 50 434,00 руб. = 50 440,00 руб.</v>
      </c>
    </row>
    <row r="55" spans="1:23" ht="21" customHeight="1" x14ac:dyDescent="0.25">
      <c r="A55" s="383"/>
      <c r="B55" s="377"/>
      <c r="C55" s="64"/>
      <c r="D55" s="379"/>
      <c r="E55" s="384"/>
      <c r="F55" s="68" t="str">
        <f>F16</f>
        <v>норматив на 2026 год :</v>
      </c>
      <c r="G55" s="322">
        <v>8760</v>
      </c>
      <c r="H55" s="65" t="s">
        <v>375</v>
      </c>
      <c r="I55" s="330">
        <f>I54*1.0457</f>
        <v>6.0203922421807512</v>
      </c>
      <c r="J55" s="67" t="str">
        <f t="shared" si="8"/>
        <v>руб. цена одного часа</v>
      </c>
      <c r="K55" s="322">
        <f t="shared" si="6"/>
        <v>52738.636041503378</v>
      </c>
      <c r="L55" s="67" t="s">
        <v>41</v>
      </c>
      <c r="M55" s="322">
        <f t="shared" si="7"/>
        <v>52739</v>
      </c>
      <c r="N55" s="71" t="s">
        <v>37</v>
      </c>
      <c r="O55" s="70">
        <f>ROUNDUP((M55),-1)</f>
        <v>52740</v>
      </c>
      <c r="P55" s="71" t="s">
        <v>37</v>
      </c>
      <c r="Q55" s="70"/>
      <c r="R55" s="71"/>
      <c r="S55" s="65"/>
      <c r="T55" s="382"/>
      <c r="U55" s="382"/>
      <c r="V55" s="382"/>
      <c r="W55" s="319" t="str">
        <f>""&amp;TEXT(G55,"0,0")&amp;" шт. х "&amp;TEXT(I55,"0,0")&amp;" мес. х "&amp;TEXT(ROUND((K55),2),"0 000,00")&amp;" руб. = "&amp;TEXT(ROUND(((M55)),2),"0 000,00")&amp;" руб. = "&amp;TEXT(O55,"0 000,00")&amp;" руб."</f>
        <v>8760,0 шт. х 6,0 мес. х 52 738,64 руб. = 52 739,00 руб. = 52 740,00 руб.</v>
      </c>
    </row>
    <row r="56" spans="1:23" ht="134.25" customHeight="1" x14ac:dyDescent="0.25">
      <c r="A56" s="383" t="s">
        <v>344</v>
      </c>
      <c r="B56" s="376" t="s">
        <v>116</v>
      </c>
      <c r="C56" s="64"/>
      <c r="D56" s="378">
        <v>225</v>
      </c>
      <c r="E56" s="378">
        <v>244</v>
      </c>
      <c r="F56" s="380" t="s">
        <v>245</v>
      </c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65"/>
      <c r="T56" s="381">
        <f>O58</f>
        <v>6720</v>
      </c>
      <c r="U56" s="381">
        <f>O59</f>
        <v>7030</v>
      </c>
      <c r="V56" s="381">
        <f>O60</f>
        <v>7350</v>
      </c>
      <c r="W56" s="319" t="s">
        <v>85</v>
      </c>
    </row>
    <row r="57" spans="1:23" ht="21.75" customHeight="1" outlineLevel="1" x14ac:dyDescent="0.25">
      <c r="A57" s="383"/>
      <c r="B57" s="377"/>
      <c r="C57" s="64"/>
      <c r="D57" s="379"/>
      <c r="E57" s="384"/>
      <c r="F57" s="61">
        <v>2022</v>
      </c>
      <c r="G57" s="322">
        <v>1</v>
      </c>
      <c r="H57" s="67" t="s">
        <v>77</v>
      </c>
      <c r="I57" s="139">
        <v>4</v>
      </c>
      <c r="J57" s="67" t="s">
        <v>67</v>
      </c>
      <c r="K57" s="322">
        <v>1479.08</v>
      </c>
      <c r="L57" s="67" t="s">
        <v>41</v>
      </c>
      <c r="M57" s="322">
        <f>ROUND((G57*I57*K57),0)</f>
        <v>5916</v>
      </c>
      <c r="N57" s="67" t="s">
        <v>37</v>
      </c>
      <c r="O57" s="70">
        <f>ROUNDUP((M57),-1)</f>
        <v>5920</v>
      </c>
      <c r="P57" s="71" t="s">
        <v>37</v>
      </c>
      <c r="Q57" s="67"/>
      <c r="R57" s="65"/>
      <c r="S57" s="65"/>
      <c r="T57" s="381"/>
      <c r="U57" s="381"/>
      <c r="V57" s="381"/>
      <c r="W57" s="319"/>
    </row>
    <row r="58" spans="1:23" ht="22.5" customHeight="1" x14ac:dyDescent="0.25">
      <c r="A58" s="383"/>
      <c r="B58" s="377"/>
      <c r="C58" s="64"/>
      <c r="D58" s="379"/>
      <c r="E58" s="384"/>
      <c r="F58" s="68" t="str">
        <f>F14</f>
        <v>норматив на 2024 год :</v>
      </c>
      <c r="G58" s="322">
        <v>1</v>
      </c>
      <c r="H58" s="67" t="s">
        <v>77</v>
      </c>
      <c r="I58" s="139">
        <v>4</v>
      </c>
      <c r="J58" s="67" t="s">
        <v>67</v>
      </c>
      <c r="K58" s="330">
        <f>K57*1.0822*1.0487</f>
        <v>1678.6125363112001</v>
      </c>
      <c r="L58" s="67" t="s">
        <v>41</v>
      </c>
      <c r="M58" s="322">
        <f t="shared" ref="M58:M60" si="9">ROUND((G58*I58*K58),0)</f>
        <v>6714</v>
      </c>
      <c r="N58" s="71" t="s">
        <v>37</v>
      </c>
      <c r="O58" s="70">
        <f t="shared" ref="O58:O60" si="10">ROUNDUP((M58),-1)</f>
        <v>6720</v>
      </c>
      <c r="P58" s="71" t="s">
        <v>37</v>
      </c>
      <c r="Q58" s="70"/>
      <c r="R58" s="71"/>
      <c r="S58" s="65"/>
      <c r="T58" s="381"/>
      <c r="U58" s="381"/>
      <c r="V58" s="381"/>
      <c r="W58" s="319" t="str">
        <f>""&amp;TEXT(G58,"0,0")&amp;" шт. х "&amp;TEXT(I58,"0,0")&amp;" раза х "&amp;TEXT(ROUND((K58),2),"0 000,00")&amp;" руб. = "&amp;TEXT(ROUND(((M58)),2),"0 000,00")&amp;" руб. = "&amp;TEXT(O58,"0 000,00")&amp;" руб."</f>
        <v>1,0 шт. х 4,0 раза х 1 678,61 руб. = 6 714,00 руб. = 6 720,00 руб.</v>
      </c>
    </row>
    <row r="59" spans="1:23" ht="21.75" customHeight="1" x14ac:dyDescent="0.25">
      <c r="A59" s="383"/>
      <c r="B59" s="377"/>
      <c r="C59" s="64"/>
      <c r="D59" s="379"/>
      <c r="E59" s="384"/>
      <c r="F59" s="68" t="str">
        <f>F15</f>
        <v>норматив на 2025 год :</v>
      </c>
      <c r="G59" s="322">
        <v>1</v>
      </c>
      <c r="H59" s="67" t="s">
        <v>77</v>
      </c>
      <c r="I59" s="139">
        <v>4</v>
      </c>
      <c r="J59" s="67" t="s">
        <v>67</v>
      </c>
      <c r="K59" s="330">
        <f>K58*1.0457</f>
        <v>1755.3251292206221</v>
      </c>
      <c r="L59" s="67" t="s">
        <v>41</v>
      </c>
      <c r="M59" s="322">
        <f t="shared" si="9"/>
        <v>7021</v>
      </c>
      <c r="N59" s="71" t="s">
        <v>37</v>
      </c>
      <c r="O59" s="70">
        <f t="shared" si="10"/>
        <v>7030</v>
      </c>
      <c r="P59" s="71" t="s">
        <v>37</v>
      </c>
      <c r="Q59" s="70"/>
      <c r="R59" s="71"/>
      <c r="S59" s="65"/>
      <c r="T59" s="381"/>
      <c r="U59" s="381"/>
      <c r="V59" s="381"/>
      <c r="W59" s="319" t="str">
        <f t="shared" ref="W59:W60" si="11">""&amp;TEXT(G59,"0,0")&amp;" шт. х "&amp;TEXT(I59,"0,0")&amp;" раза х "&amp;TEXT(ROUND((K59),2),"0 000,00")&amp;" руб. = "&amp;TEXT(ROUND(((M59)),2),"0 000,00")&amp;" руб. = "&amp;TEXT(O59,"0 000,00")&amp;" руб."</f>
        <v>1,0 шт. х 4,0 раза х 1 755,33 руб. = 7 021,00 руб. = 7 030,00 руб.</v>
      </c>
    </row>
    <row r="60" spans="1:23" ht="22.5" customHeight="1" x14ac:dyDescent="0.25">
      <c r="A60" s="383"/>
      <c r="B60" s="377"/>
      <c r="C60" s="64"/>
      <c r="D60" s="379"/>
      <c r="E60" s="384"/>
      <c r="F60" s="68" t="str">
        <f>F16</f>
        <v>норматив на 2026 год :</v>
      </c>
      <c r="G60" s="322">
        <v>1</v>
      </c>
      <c r="H60" s="67" t="s">
        <v>77</v>
      </c>
      <c r="I60" s="139">
        <v>4</v>
      </c>
      <c r="J60" s="67" t="s">
        <v>67</v>
      </c>
      <c r="K60" s="330">
        <f>K59*1.0457</f>
        <v>1835.5434876260047</v>
      </c>
      <c r="L60" s="67" t="s">
        <v>41</v>
      </c>
      <c r="M60" s="322">
        <f t="shared" si="9"/>
        <v>7342</v>
      </c>
      <c r="N60" s="71" t="s">
        <v>37</v>
      </c>
      <c r="O60" s="70">
        <f t="shared" si="10"/>
        <v>7350</v>
      </c>
      <c r="P60" s="71" t="s">
        <v>37</v>
      </c>
      <c r="Q60" s="70"/>
      <c r="R60" s="71"/>
      <c r="S60" s="65"/>
      <c r="T60" s="382"/>
      <c r="U60" s="382"/>
      <c r="V60" s="382"/>
      <c r="W60" s="319" t="str">
        <f t="shared" si="11"/>
        <v>1,0 шт. х 4,0 раза х 1 835,54 руб. = 7 342,00 руб. = 7 350,00 руб.</v>
      </c>
    </row>
    <row r="61" spans="1:23" s="75" customFormat="1" ht="119.25" customHeight="1" x14ac:dyDescent="0.25">
      <c r="A61" s="383" t="s">
        <v>345</v>
      </c>
      <c r="B61" s="376" t="s">
        <v>208</v>
      </c>
      <c r="C61" s="56"/>
      <c r="D61" s="378">
        <v>225</v>
      </c>
      <c r="E61" s="378">
        <v>244</v>
      </c>
      <c r="F61" s="380" t="s">
        <v>245</v>
      </c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Q61" s="380"/>
      <c r="R61" s="380"/>
      <c r="S61" s="322"/>
      <c r="T61" s="381">
        <f>O63</f>
        <v>71350</v>
      </c>
      <c r="U61" s="381">
        <f>O64</f>
        <v>74610</v>
      </c>
      <c r="V61" s="381">
        <f>O65</f>
        <v>78020</v>
      </c>
      <c r="W61" s="319" t="s">
        <v>209</v>
      </c>
    </row>
    <row r="62" spans="1:23" ht="15" customHeight="1" outlineLevel="1" x14ac:dyDescent="0.25">
      <c r="A62" s="383"/>
      <c r="B62" s="377"/>
      <c r="C62" s="64"/>
      <c r="D62" s="379"/>
      <c r="E62" s="384"/>
      <c r="F62" s="61">
        <v>2022</v>
      </c>
      <c r="G62" s="322">
        <v>1</v>
      </c>
      <c r="H62" s="67" t="s">
        <v>77</v>
      </c>
      <c r="I62" s="139">
        <v>1</v>
      </c>
      <c r="J62" s="67" t="s">
        <v>67</v>
      </c>
      <c r="K62" s="322">
        <v>62868</v>
      </c>
      <c r="L62" s="67" t="s">
        <v>41</v>
      </c>
      <c r="M62" s="322">
        <f>ROUND((G62*I62*K62),0)</f>
        <v>62868</v>
      </c>
      <c r="N62" s="67" t="s">
        <v>37</v>
      </c>
      <c r="O62" s="70">
        <f>ROUNDUP((M62),-1)</f>
        <v>62870</v>
      </c>
      <c r="P62" s="71" t="s">
        <v>37</v>
      </c>
      <c r="Q62" s="78"/>
      <c r="R62" s="61"/>
      <c r="S62" s="65"/>
      <c r="T62" s="381"/>
      <c r="U62" s="381"/>
      <c r="V62" s="381"/>
      <c r="W62" s="319"/>
    </row>
    <row r="63" spans="1:23" ht="18" customHeight="1" x14ac:dyDescent="0.25">
      <c r="A63" s="383"/>
      <c r="B63" s="377"/>
      <c r="C63" s="64"/>
      <c r="D63" s="379"/>
      <c r="E63" s="384"/>
      <c r="F63" s="68" t="str">
        <f>F14</f>
        <v>норматив на 2024 год :</v>
      </c>
      <c r="G63" s="322">
        <v>1</v>
      </c>
      <c r="H63" s="67" t="s">
        <v>77</v>
      </c>
      <c r="I63" s="139">
        <v>1</v>
      </c>
      <c r="J63" s="67" t="s">
        <v>67</v>
      </c>
      <c r="K63" s="330">
        <f>K62*1.0822*1.0487</f>
        <v>71349.090605520003</v>
      </c>
      <c r="L63" s="67" t="s">
        <v>41</v>
      </c>
      <c r="M63" s="322">
        <f t="shared" ref="M63:M65" si="12">ROUND((G63*I63*K63),0)</f>
        <v>71349</v>
      </c>
      <c r="N63" s="67" t="s">
        <v>37</v>
      </c>
      <c r="O63" s="70">
        <f t="shared" ref="O63:O65" si="13">ROUNDUP((M63),-1)</f>
        <v>71350</v>
      </c>
      <c r="P63" s="71" t="s">
        <v>37</v>
      </c>
      <c r="Q63" s="72"/>
      <c r="R63" s="61"/>
      <c r="S63" s="72"/>
      <c r="T63" s="381"/>
      <c r="U63" s="381"/>
      <c r="V63" s="381"/>
      <c r="W63" s="319" t="str">
        <f>""&amp;TEXT($G$37,"0,0")&amp;" у.ед. х "&amp;TEXT($I$37,"0,0")&amp;" раз х "&amp;TEXT(ROUND((K63),2),"000,00")&amp;" руб. = "&amp;TEXT(ROUND((M63),2),"000,00")&amp;" руб. = "&amp;TEXT(O63,"0 000,00")&amp;" руб."</f>
        <v>1,0 у.ед. х 1,0 раз х 71349,09 руб. = 71349,00 руб. = 71 350,00 руб.</v>
      </c>
    </row>
    <row r="64" spans="1:23" ht="19.5" customHeight="1" x14ac:dyDescent="0.25">
      <c r="A64" s="383"/>
      <c r="B64" s="377"/>
      <c r="C64" s="64"/>
      <c r="D64" s="379"/>
      <c r="E64" s="384"/>
      <c r="F64" s="68" t="str">
        <f>F15</f>
        <v>норматив на 2025 год :</v>
      </c>
      <c r="G64" s="322">
        <v>1</v>
      </c>
      <c r="H64" s="67" t="s">
        <v>77</v>
      </c>
      <c r="I64" s="139">
        <v>1</v>
      </c>
      <c r="J64" s="67" t="s">
        <v>67</v>
      </c>
      <c r="K64" s="330">
        <f>K63*1.0457</f>
        <v>74609.744046192267</v>
      </c>
      <c r="L64" s="67" t="s">
        <v>41</v>
      </c>
      <c r="M64" s="322">
        <f t="shared" si="12"/>
        <v>74610</v>
      </c>
      <c r="N64" s="67" t="s">
        <v>37</v>
      </c>
      <c r="O64" s="70">
        <f t="shared" si="13"/>
        <v>74610</v>
      </c>
      <c r="P64" s="71" t="s">
        <v>37</v>
      </c>
      <c r="Q64" s="72"/>
      <c r="R64" s="61"/>
      <c r="S64" s="72"/>
      <c r="T64" s="381"/>
      <c r="U64" s="381"/>
      <c r="V64" s="381"/>
      <c r="W64" s="319" t="str">
        <f>""&amp;TEXT($G$37,"0,0")&amp;" ед. х "&amp;TEXT($I$37,"0,0")&amp;" раз х "&amp;TEXT(ROUND((K64),2),"000,00")&amp;" руб. = "&amp;TEXT(ROUND((M64),2),"000,00")&amp;" руб. = "&amp;TEXT(O64,"0 000,00")&amp;" руб."</f>
        <v>1,0 ед. х 1,0 раз х 74609,74 руб. = 74610,00 руб. = 74 610,00 руб.</v>
      </c>
    </row>
    <row r="65" spans="1:23" ht="19.5" customHeight="1" x14ac:dyDescent="0.25">
      <c r="A65" s="383"/>
      <c r="B65" s="377"/>
      <c r="C65" s="64"/>
      <c r="D65" s="379"/>
      <c r="E65" s="384"/>
      <c r="F65" s="68" t="str">
        <f>F16</f>
        <v>норматив на 2026 год :</v>
      </c>
      <c r="G65" s="322">
        <v>1</v>
      </c>
      <c r="H65" s="67" t="s">
        <v>77</v>
      </c>
      <c r="I65" s="139">
        <v>1</v>
      </c>
      <c r="J65" s="67" t="s">
        <v>67</v>
      </c>
      <c r="K65" s="330">
        <f>K64*1.0457</f>
        <v>78019.409349103254</v>
      </c>
      <c r="L65" s="67" t="s">
        <v>41</v>
      </c>
      <c r="M65" s="322">
        <f t="shared" si="12"/>
        <v>78019</v>
      </c>
      <c r="N65" s="67" t="s">
        <v>37</v>
      </c>
      <c r="O65" s="70">
        <f t="shared" si="13"/>
        <v>78020</v>
      </c>
      <c r="P65" s="71" t="s">
        <v>37</v>
      </c>
      <c r="Q65" s="70"/>
      <c r="R65" s="61"/>
      <c r="S65" s="71"/>
      <c r="T65" s="382"/>
      <c r="U65" s="382"/>
      <c r="V65" s="382"/>
      <c r="W65" s="319" t="str">
        <f>""&amp;TEXT($G$37,"0,0")&amp;" ед. х "&amp;TEXT($I$37,"0,0")&amp;" раз х "&amp;TEXT(ROUND((K65),2),"000,00")&amp;" руб. = "&amp;TEXT(ROUND((M65),2),"000,00")&amp;" руб. = "&amp;TEXT(O65,"0 000,00")&amp;" руб."</f>
        <v>1,0 ед. х 1,0 раз х 78019,41 руб. = 78019,00 руб. = 78 020,00 руб.</v>
      </c>
    </row>
    <row r="66" spans="1:23" s="75" customFormat="1" ht="119.25" customHeight="1" x14ac:dyDescent="0.25">
      <c r="A66" s="383" t="s">
        <v>346</v>
      </c>
      <c r="B66" s="376" t="s">
        <v>236</v>
      </c>
      <c r="C66" s="56"/>
      <c r="D66" s="378">
        <v>225</v>
      </c>
      <c r="E66" s="378">
        <v>244</v>
      </c>
      <c r="F66" s="380" t="s">
        <v>246</v>
      </c>
      <c r="G66" s="380"/>
      <c r="H66" s="380"/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322"/>
      <c r="T66" s="381">
        <f>O68</f>
        <v>7300</v>
      </c>
      <c r="U66" s="381">
        <f>O69</f>
        <v>7630</v>
      </c>
      <c r="V66" s="381">
        <f>O70</f>
        <v>7980</v>
      </c>
      <c r="W66" s="319" t="s">
        <v>363</v>
      </c>
    </row>
    <row r="67" spans="1:23" ht="15" customHeight="1" outlineLevel="1" x14ac:dyDescent="0.25">
      <c r="A67" s="383"/>
      <c r="B67" s="377"/>
      <c r="C67" s="64"/>
      <c r="D67" s="379"/>
      <c r="E67" s="384"/>
      <c r="F67" s="61"/>
      <c r="G67" s="322"/>
      <c r="H67" s="67"/>
      <c r="I67" s="139"/>
      <c r="J67" s="67" t="s">
        <v>67</v>
      </c>
      <c r="K67" s="322"/>
      <c r="L67" s="67" t="s">
        <v>41</v>
      </c>
      <c r="M67" s="322">
        <f>ROUND((G67*I67*K67),0)</f>
        <v>0</v>
      </c>
      <c r="N67" s="67" t="s">
        <v>37</v>
      </c>
      <c r="O67" s="70">
        <f>ROUNDUP((M67),-1)</f>
        <v>0</v>
      </c>
      <c r="P67" s="71" t="s">
        <v>37</v>
      </c>
      <c r="Q67" s="78"/>
      <c r="R67" s="61"/>
      <c r="S67" s="65"/>
      <c r="T67" s="381"/>
      <c r="U67" s="381"/>
      <c r="V67" s="381"/>
      <c r="W67" s="319"/>
    </row>
    <row r="68" spans="1:23" ht="18" customHeight="1" x14ac:dyDescent="0.25">
      <c r="A68" s="383"/>
      <c r="B68" s="377"/>
      <c r="C68" s="64"/>
      <c r="D68" s="379"/>
      <c r="E68" s="384"/>
      <c r="F68" s="68" t="str">
        <f>F63</f>
        <v>норматив на 2024 год :</v>
      </c>
      <c r="G68" s="322">
        <v>61</v>
      </c>
      <c r="H68" s="67" t="s">
        <v>77</v>
      </c>
      <c r="I68" s="139">
        <v>1</v>
      </c>
      <c r="J68" s="67" t="s">
        <v>67</v>
      </c>
      <c r="K68" s="330">
        <f>114*1.0487</f>
        <v>119.5518</v>
      </c>
      <c r="L68" s="67" t="s">
        <v>41</v>
      </c>
      <c r="M68" s="322">
        <f t="shared" ref="M68:M70" si="14">ROUND((G68*I68*K68),0)</f>
        <v>7293</v>
      </c>
      <c r="N68" s="67" t="s">
        <v>37</v>
      </c>
      <c r="O68" s="70">
        <f t="shared" ref="O68:O70" si="15">ROUNDUP((M68),-1)</f>
        <v>7300</v>
      </c>
      <c r="P68" s="71" t="s">
        <v>37</v>
      </c>
      <c r="Q68" s="72"/>
      <c r="R68" s="61"/>
      <c r="S68" s="72"/>
      <c r="T68" s="381"/>
      <c r="U68" s="381"/>
      <c r="V68" s="381"/>
      <c r="W68" s="319" t="str">
        <f>""&amp;TEXT($G$78,"0,0")&amp;" шт. х "&amp;TEXT($I$78,"0,0")&amp;" раз х "&amp;TEXT(ROUND((K68),2),"000,00")&amp;" руб. = "&amp;TEXT(ROUND((M68),2),"000,00")&amp;" руб. = "&amp;TEXT(O68,"0 000,00")&amp;" руб."</f>
        <v>1,0 шт. х 1,0 раз х 119,55 руб. = 7293,00 руб. = 7 300,00 руб.</v>
      </c>
    </row>
    <row r="69" spans="1:23" ht="19.5" customHeight="1" x14ac:dyDescent="0.25">
      <c r="A69" s="383"/>
      <c r="B69" s="377"/>
      <c r="C69" s="64"/>
      <c r="D69" s="379"/>
      <c r="E69" s="384"/>
      <c r="F69" s="68" t="str">
        <f t="shared" ref="F69:F70" si="16">F64</f>
        <v>норматив на 2025 год :</v>
      </c>
      <c r="G69" s="322">
        <v>61</v>
      </c>
      <c r="H69" s="67" t="s">
        <v>77</v>
      </c>
      <c r="I69" s="139">
        <v>1</v>
      </c>
      <c r="J69" s="67" t="s">
        <v>67</v>
      </c>
      <c r="K69" s="330">
        <f>K68*1.0457</f>
        <v>125.01531726</v>
      </c>
      <c r="L69" s="67" t="s">
        <v>41</v>
      </c>
      <c r="M69" s="322">
        <f t="shared" si="14"/>
        <v>7626</v>
      </c>
      <c r="N69" s="67" t="s">
        <v>37</v>
      </c>
      <c r="O69" s="70">
        <f t="shared" si="15"/>
        <v>7630</v>
      </c>
      <c r="P69" s="71" t="s">
        <v>37</v>
      </c>
      <c r="Q69" s="72"/>
      <c r="R69" s="61"/>
      <c r="S69" s="72"/>
      <c r="T69" s="381"/>
      <c r="U69" s="381"/>
      <c r="V69" s="381"/>
      <c r="W69" s="319" t="str">
        <f>""&amp;TEXT($G$79,"0,0")&amp;" шт. х "&amp;TEXT($I$37,"0,0")&amp;" раз х "&amp;TEXT(ROUND((K69),2),"000,00")&amp;" руб. = "&amp;TEXT(ROUND((M69),2),"000,00")&amp;" руб. = "&amp;TEXT(O69,"0 000,00")&amp;" руб."</f>
        <v>1,0 шт. х 1,0 раз х 125,02 руб. = 7626,00 руб. = 7 630,00 руб.</v>
      </c>
    </row>
    <row r="70" spans="1:23" ht="19.5" customHeight="1" x14ac:dyDescent="0.25">
      <c r="A70" s="383"/>
      <c r="B70" s="377"/>
      <c r="C70" s="64"/>
      <c r="D70" s="379"/>
      <c r="E70" s="384"/>
      <c r="F70" s="68" t="str">
        <f t="shared" si="16"/>
        <v>норматив на 2026 год :</v>
      </c>
      <c r="G70" s="322">
        <v>61</v>
      </c>
      <c r="H70" s="67" t="s">
        <v>77</v>
      </c>
      <c r="I70" s="139">
        <v>1</v>
      </c>
      <c r="J70" s="67" t="s">
        <v>67</v>
      </c>
      <c r="K70" s="330">
        <f>K69*1.0457</f>
        <v>130.72851725878201</v>
      </c>
      <c r="L70" s="67" t="s">
        <v>41</v>
      </c>
      <c r="M70" s="322">
        <f t="shared" si="14"/>
        <v>7974</v>
      </c>
      <c r="N70" s="67" t="s">
        <v>37</v>
      </c>
      <c r="O70" s="70">
        <f t="shared" si="15"/>
        <v>7980</v>
      </c>
      <c r="P70" s="71" t="s">
        <v>37</v>
      </c>
      <c r="Q70" s="70"/>
      <c r="R70" s="61"/>
      <c r="S70" s="71"/>
      <c r="T70" s="382"/>
      <c r="U70" s="382"/>
      <c r="V70" s="382"/>
      <c r="W70" s="319" t="str">
        <f>""&amp;TEXT($G$80,"0,0")&amp;" шт. х "&amp;TEXT($I$37,"0,0")&amp;" раз х "&amp;TEXT(ROUND((K70),2),"000,00")&amp;" руб. = "&amp;TEXT(ROUND((M70),2),"000,00")&amp;" руб. = "&amp;TEXT(O70,"0 000,00")&amp;" руб."</f>
        <v>1,0 шт. х 1,0 раз х 130,73 руб. = 7974,00 руб. = 7 980,00 руб.</v>
      </c>
    </row>
    <row r="71" spans="1:23" s="75" customFormat="1" ht="119.25" customHeight="1" x14ac:dyDescent="0.25">
      <c r="A71" s="383" t="s">
        <v>347</v>
      </c>
      <c r="B71" s="376" t="s">
        <v>348</v>
      </c>
      <c r="C71" s="56"/>
      <c r="D71" s="378">
        <v>225</v>
      </c>
      <c r="E71" s="378">
        <v>244</v>
      </c>
      <c r="F71" s="380" t="s">
        <v>246</v>
      </c>
      <c r="G71" s="380"/>
      <c r="H71" s="380"/>
      <c r="I71" s="380"/>
      <c r="J71" s="380"/>
      <c r="K71" s="380"/>
      <c r="L71" s="380"/>
      <c r="M71" s="380"/>
      <c r="N71" s="380"/>
      <c r="O71" s="380"/>
      <c r="P71" s="380"/>
      <c r="Q71" s="380"/>
      <c r="R71" s="380"/>
      <c r="S71" s="322"/>
      <c r="T71" s="381">
        <f>O73</f>
        <v>31970</v>
      </c>
      <c r="U71" s="381">
        <f>O74</f>
        <v>33430</v>
      </c>
      <c r="V71" s="381">
        <f>O75</f>
        <v>34960</v>
      </c>
      <c r="W71" s="319" t="s">
        <v>362</v>
      </c>
    </row>
    <row r="72" spans="1:23" ht="15" customHeight="1" outlineLevel="1" x14ac:dyDescent="0.25">
      <c r="A72" s="383"/>
      <c r="B72" s="377"/>
      <c r="C72" s="64"/>
      <c r="D72" s="379"/>
      <c r="E72" s="384"/>
      <c r="F72" s="61"/>
      <c r="G72" s="322"/>
      <c r="H72" s="67"/>
      <c r="I72" s="139"/>
      <c r="J72" s="67" t="s">
        <v>67</v>
      </c>
      <c r="K72" s="322"/>
      <c r="L72" s="67" t="s">
        <v>41</v>
      </c>
      <c r="M72" s="322">
        <f>ROUND((G72*I72*K72),0)</f>
        <v>0</v>
      </c>
      <c r="N72" s="67" t="s">
        <v>37</v>
      </c>
      <c r="O72" s="70">
        <f>ROUNDUP((M72),-1)</f>
        <v>0</v>
      </c>
      <c r="P72" s="71" t="s">
        <v>37</v>
      </c>
      <c r="Q72" s="78"/>
      <c r="R72" s="61"/>
      <c r="S72" s="65"/>
      <c r="T72" s="381"/>
      <c r="U72" s="381"/>
      <c r="V72" s="381"/>
      <c r="W72" s="319"/>
    </row>
    <row r="73" spans="1:23" ht="18" customHeight="1" x14ac:dyDescent="0.25">
      <c r="A73" s="383"/>
      <c r="B73" s="377"/>
      <c r="C73" s="64"/>
      <c r="D73" s="379"/>
      <c r="E73" s="384"/>
      <c r="F73" s="68" t="str">
        <f>F68</f>
        <v>норматив на 2024 год :</v>
      </c>
      <c r="G73" s="322">
        <v>61</v>
      </c>
      <c r="H73" s="67" t="s">
        <v>77</v>
      </c>
      <c r="I73" s="139">
        <v>1</v>
      </c>
      <c r="J73" s="67" t="s">
        <v>67</v>
      </c>
      <c r="K73" s="330">
        <f>499.67*1.0487</f>
        <v>524.00392899999997</v>
      </c>
      <c r="L73" s="67" t="s">
        <v>41</v>
      </c>
      <c r="M73" s="322">
        <f t="shared" ref="M73:M75" si="17">ROUND((G73*I73*K73),0)</f>
        <v>31964</v>
      </c>
      <c r="N73" s="67" t="s">
        <v>37</v>
      </c>
      <c r="O73" s="70">
        <f t="shared" ref="O73:O75" si="18">ROUNDUP((M73),-1)</f>
        <v>31970</v>
      </c>
      <c r="P73" s="71" t="s">
        <v>37</v>
      </c>
      <c r="Q73" s="72"/>
      <c r="R73" s="61"/>
      <c r="S73" s="72"/>
      <c r="T73" s="381"/>
      <c r="U73" s="381"/>
      <c r="V73" s="381"/>
      <c r="W73" s="319" t="str">
        <f>""&amp;TEXT($G$78,"0,0")&amp;" шт. х "&amp;TEXT($I$78,"0,0")&amp;" раз х "&amp;TEXT(ROUND((K73),2),"000,00")&amp;" руб. = "&amp;TEXT(ROUND((M73),2),"000,00")&amp;" руб. = "&amp;TEXT(O73,"0 000,00")&amp;" руб."</f>
        <v>1,0 шт. х 1,0 раз х 524,00 руб. = 31964,00 руб. = 31 970,00 руб.</v>
      </c>
    </row>
    <row r="74" spans="1:23" ht="19.5" customHeight="1" x14ac:dyDescent="0.25">
      <c r="A74" s="383"/>
      <c r="B74" s="377"/>
      <c r="C74" s="64"/>
      <c r="D74" s="379"/>
      <c r="E74" s="384"/>
      <c r="F74" s="68" t="str">
        <f t="shared" ref="F74:F75" si="19">F69</f>
        <v>норматив на 2025 год :</v>
      </c>
      <c r="G74" s="322">
        <v>61</v>
      </c>
      <c r="H74" s="67" t="s">
        <v>77</v>
      </c>
      <c r="I74" s="139">
        <v>1</v>
      </c>
      <c r="J74" s="67" t="s">
        <v>67</v>
      </c>
      <c r="K74" s="330">
        <f>K73*1.0457</f>
        <v>547.95090855529997</v>
      </c>
      <c r="L74" s="67" t="s">
        <v>41</v>
      </c>
      <c r="M74" s="322">
        <f t="shared" si="17"/>
        <v>33425</v>
      </c>
      <c r="N74" s="67" t="s">
        <v>37</v>
      </c>
      <c r="O74" s="70">
        <f t="shared" si="18"/>
        <v>33430</v>
      </c>
      <c r="P74" s="71" t="s">
        <v>37</v>
      </c>
      <c r="Q74" s="72"/>
      <c r="R74" s="61"/>
      <c r="S74" s="72"/>
      <c r="T74" s="381"/>
      <c r="U74" s="381"/>
      <c r="V74" s="381"/>
      <c r="W74" s="319" t="str">
        <f>""&amp;TEXT($G$79,"0,0")&amp;" шт. х "&amp;TEXT($I$37,"0,0")&amp;" раз х "&amp;TEXT(ROUND((K74),2),"000,00")&amp;" руб. = "&amp;TEXT(ROUND((M74),2),"000,00")&amp;" руб. = "&amp;TEXT(O74,"0 000,00")&amp;" руб."</f>
        <v>1,0 шт. х 1,0 раз х 547,95 руб. = 33425,00 руб. = 33 430,00 руб.</v>
      </c>
    </row>
    <row r="75" spans="1:23" ht="19.5" customHeight="1" x14ac:dyDescent="0.25">
      <c r="A75" s="383"/>
      <c r="B75" s="377"/>
      <c r="C75" s="64"/>
      <c r="D75" s="379"/>
      <c r="E75" s="384"/>
      <c r="F75" s="68" t="str">
        <f t="shared" si="19"/>
        <v>норматив на 2026 год :</v>
      </c>
      <c r="G75" s="322">
        <v>61</v>
      </c>
      <c r="H75" s="67" t="s">
        <v>77</v>
      </c>
      <c r="I75" s="139">
        <v>1</v>
      </c>
      <c r="J75" s="67" t="s">
        <v>67</v>
      </c>
      <c r="K75" s="330">
        <f>K74*1.0457</f>
        <v>572.99226507627725</v>
      </c>
      <c r="L75" s="67" t="s">
        <v>41</v>
      </c>
      <c r="M75" s="322">
        <f t="shared" si="17"/>
        <v>34953</v>
      </c>
      <c r="N75" s="67" t="s">
        <v>37</v>
      </c>
      <c r="O75" s="70">
        <f t="shared" si="18"/>
        <v>34960</v>
      </c>
      <c r="P75" s="71" t="s">
        <v>37</v>
      </c>
      <c r="Q75" s="70"/>
      <c r="R75" s="61"/>
      <c r="S75" s="71"/>
      <c r="T75" s="382"/>
      <c r="U75" s="382"/>
      <c r="V75" s="382"/>
      <c r="W75" s="319" t="str">
        <f>""&amp;TEXT($G$80,"0,0")&amp;" шт. х "&amp;TEXT($I$37,"0,0")&amp;" раз х "&amp;TEXT(ROUND((K75),2),"000,00")&amp;" руб. = "&amp;TEXT(ROUND((M75),2),"000,00")&amp;" руб. = "&amp;TEXT(O75,"0 000,00")&amp;" руб."</f>
        <v>1,0 шт. х 1,0 раз х 572,99 руб. = 34953,00 руб. = 34 960,00 руб.</v>
      </c>
    </row>
    <row r="76" spans="1:23" s="75" customFormat="1" ht="119.25" customHeight="1" x14ac:dyDescent="0.25">
      <c r="A76" s="438" t="s">
        <v>371</v>
      </c>
      <c r="B76" s="376" t="s">
        <v>372</v>
      </c>
      <c r="C76" s="56"/>
      <c r="D76" s="378">
        <v>225</v>
      </c>
      <c r="E76" s="378">
        <v>244</v>
      </c>
      <c r="F76" s="380" t="s">
        <v>246</v>
      </c>
      <c r="G76" s="380"/>
      <c r="H76" s="380"/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322"/>
      <c r="T76" s="381">
        <f>O78</f>
        <v>166750</v>
      </c>
      <c r="U76" s="381">
        <f>O79</f>
        <v>174370</v>
      </c>
      <c r="V76" s="381">
        <f>O80</f>
        <v>182340</v>
      </c>
      <c r="W76" s="319" t="s">
        <v>373</v>
      </c>
    </row>
    <row r="77" spans="1:23" ht="15" customHeight="1" outlineLevel="1" x14ac:dyDescent="0.25">
      <c r="A77" s="438"/>
      <c r="B77" s="377"/>
      <c r="C77" s="64"/>
      <c r="D77" s="379"/>
      <c r="E77" s="384"/>
      <c r="F77" s="61"/>
      <c r="G77" s="322"/>
      <c r="H77" s="67"/>
      <c r="I77" s="139"/>
      <c r="J77" s="67" t="s">
        <v>67</v>
      </c>
      <c r="K77" s="322"/>
      <c r="L77" s="67" t="s">
        <v>41</v>
      </c>
      <c r="M77" s="322">
        <f>ROUND((G77*I77*K77),0)</f>
        <v>0</v>
      </c>
      <c r="N77" s="67" t="s">
        <v>37</v>
      </c>
      <c r="O77" s="70">
        <f>ROUNDUP((M77),-1)</f>
        <v>0</v>
      </c>
      <c r="P77" s="71" t="s">
        <v>37</v>
      </c>
      <c r="Q77" s="78"/>
      <c r="R77" s="61"/>
      <c r="S77" s="65"/>
      <c r="T77" s="381"/>
      <c r="U77" s="381"/>
      <c r="V77" s="381"/>
      <c r="W77" s="319"/>
    </row>
    <row r="78" spans="1:23" ht="18" customHeight="1" x14ac:dyDescent="0.25">
      <c r="A78" s="438"/>
      <c r="B78" s="377"/>
      <c r="C78" s="64"/>
      <c r="D78" s="379"/>
      <c r="E78" s="384"/>
      <c r="F78" s="68" t="str">
        <f>F14</f>
        <v>норматив на 2024 год :</v>
      </c>
      <c r="G78" s="322">
        <v>1</v>
      </c>
      <c r="H78" s="67" t="s">
        <v>77</v>
      </c>
      <c r="I78" s="139">
        <v>1</v>
      </c>
      <c r="J78" s="67" t="s">
        <v>67</v>
      </c>
      <c r="K78" s="330">
        <f>158999.93*1.0487</f>
        <v>166743.22659099998</v>
      </c>
      <c r="L78" s="67" t="s">
        <v>41</v>
      </c>
      <c r="M78" s="322">
        <f t="shared" ref="M78:M80" si="20">ROUND((G78*I78*K78),0)</f>
        <v>166743</v>
      </c>
      <c r="N78" s="67" t="s">
        <v>37</v>
      </c>
      <c r="O78" s="70">
        <f t="shared" ref="O78:O80" si="21">ROUNDUP((M78),-1)</f>
        <v>166750</v>
      </c>
      <c r="P78" s="71" t="s">
        <v>37</v>
      </c>
      <c r="Q78" s="72"/>
      <c r="R78" s="61"/>
      <c r="S78" s="72"/>
      <c r="T78" s="381"/>
      <c r="U78" s="381"/>
      <c r="V78" s="381"/>
      <c r="W78" s="319" t="str">
        <f>""&amp;TEXT($G$78,"0,0")&amp;" шт. х "&amp;TEXT($I$78,"0,0")&amp;" раз х "&amp;TEXT(ROUND((K78),2),"000,00")&amp;" руб. = "&amp;TEXT(ROUND((M78),2),"000,00")&amp;" руб. = "&amp;TEXT(O78,"0 000,00")&amp;" руб."</f>
        <v>1,0 шт. х 1,0 раз х 166743,23 руб. = 166743,00 руб. = 166 750,00 руб.</v>
      </c>
    </row>
    <row r="79" spans="1:23" ht="19.5" customHeight="1" x14ac:dyDescent="0.25">
      <c r="A79" s="438"/>
      <c r="B79" s="377"/>
      <c r="C79" s="64"/>
      <c r="D79" s="379"/>
      <c r="E79" s="384"/>
      <c r="F79" s="68" t="str">
        <f>F15</f>
        <v>норматив на 2025 год :</v>
      </c>
      <c r="G79" s="322">
        <v>1</v>
      </c>
      <c r="H79" s="67" t="s">
        <v>77</v>
      </c>
      <c r="I79" s="139">
        <v>1</v>
      </c>
      <c r="J79" s="67" t="s">
        <v>67</v>
      </c>
      <c r="K79" s="330">
        <f>K78*1.0457</f>
        <v>174363.3920462087</v>
      </c>
      <c r="L79" s="67" t="s">
        <v>41</v>
      </c>
      <c r="M79" s="322">
        <f t="shared" si="20"/>
        <v>174363</v>
      </c>
      <c r="N79" s="67" t="s">
        <v>37</v>
      </c>
      <c r="O79" s="70">
        <f t="shared" si="21"/>
        <v>174370</v>
      </c>
      <c r="P79" s="71" t="s">
        <v>37</v>
      </c>
      <c r="Q79" s="72"/>
      <c r="R79" s="61"/>
      <c r="S79" s="72"/>
      <c r="T79" s="381"/>
      <c r="U79" s="381"/>
      <c r="V79" s="381"/>
      <c r="W79" s="319" t="str">
        <f>""&amp;TEXT($G$79,"0,0")&amp;" шт. х "&amp;TEXT($I$37,"0,0")&amp;" раз х "&amp;TEXT(ROUND((K79),2),"000,00")&amp;" руб. = "&amp;TEXT(ROUND((M79),2),"000,00")&amp;" руб. = "&amp;TEXT(O79,"0 000,00")&amp;" руб."</f>
        <v>1,0 шт. х 1,0 раз х 174363,39 руб. = 174363,00 руб. = 174 370,00 руб.</v>
      </c>
    </row>
    <row r="80" spans="1:23" ht="19.5" customHeight="1" x14ac:dyDescent="0.25">
      <c r="A80" s="438"/>
      <c r="B80" s="377"/>
      <c r="C80" s="64"/>
      <c r="D80" s="379"/>
      <c r="E80" s="384"/>
      <c r="F80" s="68" t="str">
        <f>F16</f>
        <v>норматив на 2026 год :</v>
      </c>
      <c r="G80" s="322">
        <v>1</v>
      </c>
      <c r="H80" s="67" t="s">
        <v>77</v>
      </c>
      <c r="I80" s="139">
        <v>1</v>
      </c>
      <c r="J80" s="67" t="s">
        <v>67</v>
      </c>
      <c r="K80" s="330">
        <f>K79*1.0457</f>
        <v>182331.79906272044</v>
      </c>
      <c r="L80" s="67" t="s">
        <v>41</v>
      </c>
      <c r="M80" s="322">
        <f t="shared" si="20"/>
        <v>182332</v>
      </c>
      <c r="N80" s="67" t="s">
        <v>37</v>
      </c>
      <c r="O80" s="70">
        <f t="shared" si="21"/>
        <v>182340</v>
      </c>
      <c r="P80" s="71" t="s">
        <v>37</v>
      </c>
      <c r="Q80" s="70"/>
      <c r="R80" s="61"/>
      <c r="S80" s="71"/>
      <c r="T80" s="382"/>
      <c r="U80" s="382"/>
      <c r="V80" s="382"/>
      <c r="W80" s="319" t="str">
        <f>""&amp;TEXT($G$80,"0,0")&amp;" шт. х "&amp;TEXT($I$37,"0,0")&amp;" раз х "&amp;TEXT(ROUND((K80),2),"000,00")&amp;" руб. = "&amp;TEXT(ROUND((M80),2),"000,00")&amp;" руб. = "&amp;TEXT(O80,"0 000,00")&amp;" руб."</f>
        <v>1,0 шт. х 1,0 раз х 182331,80 руб. = 182332,00 руб. = 182 340,00 руб.</v>
      </c>
    </row>
    <row r="81" spans="1:23" ht="183.75" customHeight="1" x14ac:dyDescent="0.25">
      <c r="A81" s="281" t="s">
        <v>12</v>
      </c>
      <c r="B81" s="310" t="s">
        <v>365</v>
      </c>
      <c r="C81" s="88"/>
      <c r="D81" s="248" t="s">
        <v>35</v>
      </c>
      <c r="E81" s="248" t="s">
        <v>35</v>
      </c>
      <c r="F81" s="423"/>
      <c r="G81" s="424"/>
      <c r="H81" s="424"/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255">
        <f>T82+T86+T91+T96+T101</f>
        <v>628450</v>
      </c>
      <c r="U81" s="255">
        <f t="shared" ref="U81:V81" si="22">U82+U86+U91+U96+U101</f>
        <v>655420</v>
      </c>
      <c r="V81" s="255">
        <f t="shared" si="22"/>
        <v>682780</v>
      </c>
      <c r="W81" s="319" t="str">
        <f>"Нормативные " &amp;TEXT(B81,"0")&amp;" включают в себя:
нормативные "&amp;TEXT(B82,"0")&amp;";
нормативные "&amp;TEXT(B86,"0")&amp;"; нормативные "&amp;TEXT(B91,"0")&amp;";
нормативные "&amp;TEXT(B96,"0")&amp;";
нормативные "&amp;TEXT(B101,"0")&amp;""</f>
        <v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 включают в себя:
нормативные затраты на приобретение периодических печатных изданий;
нормативные затраты на проведение периодического медицинского осмотра; нормативные затраты на проведение предрейсового медицинского осмотра;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82" spans="1:23" ht="105.75" customHeight="1" x14ac:dyDescent="0.25">
      <c r="A82" s="468" t="s">
        <v>13</v>
      </c>
      <c r="B82" s="376" t="s">
        <v>103</v>
      </c>
      <c r="C82" s="64"/>
      <c r="D82" s="378">
        <v>226</v>
      </c>
      <c r="E82" s="378">
        <v>244</v>
      </c>
      <c r="F82" s="458" t="s">
        <v>382</v>
      </c>
      <c r="G82" s="458"/>
      <c r="H82" s="458"/>
      <c r="I82" s="458"/>
      <c r="J82" s="458"/>
      <c r="K82" s="458"/>
      <c r="L82" s="458"/>
      <c r="M82" s="458"/>
      <c r="N82" s="458"/>
      <c r="O82" s="458"/>
      <c r="P82" s="458"/>
      <c r="Q82" s="458"/>
      <c r="R82" s="458"/>
      <c r="S82" s="65"/>
      <c r="T82" s="381">
        <f>O83</f>
        <v>429410</v>
      </c>
      <c r="U82" s="381">
        <f>O84</f>
        <v>447280</v>
      </c>
      <c r="V82" s="381">
        <f>O85</f>
        <v>465120</v>
      </c>
      <c r="W82" s="319" t="s">
        <v>51</v>
      </c>
    </row>
    <row r="83" spans="1:23" ht="21.75" customHeight="1" x14ac:dyDescent="0.25">
      <c r="A83" s="468"/>
      <c r="B83" s="377"/>
      <c r="C83" s="64"/>
      <c r="D83" s="379"/>
      <c r="E83" s="379"/>
      <c r="F83" s="68" t="str">
        <f>F14</f>
        <v>норматив на 2024 год :</v>
      </c>
      <c r="G83" s="322">
        <v>213</v>
      </c>
      <c r="H83" s="67" t="s">
        <v>48</v>
      </c>
      <c r="I83" s="311">
        <v>168</v>
      </c>
      <c r="J83" s="67" t="s">
        <v>49</v>
      </c>
      <c r="K83" s="140">
        <v>12</v>
      </c>
      <c r="L83" s="67" t="s">
        <v>50</v>
      </c>
      <c r="M83" s="322">
        <f t="shared" ref="M83:M85" si="23">ROUND((G83*I83*K83),0)</f>
        <v>429408</v>
      </c>
      <c r="N83" s="67" t="s">
        <v>41</v>
      </c>
      <c r="O83" s="70">
        <f>ROUNDUP((M83),-1)</f>
        <v>429410</v>
      </c>
      <c r="P83" s="71" t="s">
        <v>37</v>
      </c>
      <c r="Q83" s="67"/>
      <c r="R83" s="65"/>
      <c r="S83" s="65"/>
      <c r="T83" s="381"/>
      <c r="U83" s="381"/>
      <c r="V83" s="381"/>
      <c r="W83" s="319" t="str">
        <f>""&amp;TEXT(G83,"000,00")&amp;" шт.ед. х норматив "&amp;TEXT(I83,"0,00")&amp;" руб. х "&amp;TEXT(K83,"00,0")&amp;" мес.  = "&amp;TEXT(M83,"0 000,00")&amp;" руб. = "&amp;TEXT(O83,"0 000,00")&amp;" руб."</f>
        <v>213,00 шт.ед. х норматив 168,00 руб. х 12,0 мес.  = 429 408,00 руб. = 429 410,00 руб.</v>
      </c>
    </row>
    <row r="84" spans="1:23" ht="20.25" customHeight="1" x14ac:dyDescent="0.25">
      <c r="A84" s="468"/>
      <c r="B84" s="377"/>
      <c r="C84" s="64"/>
      <c r="D84" s="379"/>
      <c r="E84" s="379"/>
      <c r="F84" s="68" t="str">
        <f>F15</f>
        <v>норматив на 2025 год :</v>
      </c>
      <c r="G84" s="322">
        <v>213</v>
      </c>
      <c r="H84" s="67" t="s">
        <v>48</v>
      </c>
      <c r="I84" s="311">
        <v>174.99</v>
      </c>
      <c r="J84" s="67" t="s">
        <v>49</v>
      </c>
      <c r="K84" s="140">
        <v>12</v>
      </c>
      <c r="L84" s="67" t="s">
        <v>50</v>
      </c>
      <c r="M84" s="322">
        <f t="shared" si="23"/>
        <v>447274</v>
      </c>
      <c r="N84" s="67" t="s">
        <v>41</v>
      </c>
      <c r="O84" s="70">
        <f t="shared" ref="O84:O85" si="24">ROUNDUP((M84),-1)</f>
        <v>447280</v>
      </c>
      <c r="P84" s="71" t="s">
        <v>37</v>
      </c>
      <c r="Q84" s="67"/>
      <c r="R84" s="65"/>
      <c r="S84" s="65"/>
      <c r="T84" s="381"/>
      <c r="U84" s="381"/>
      <c r="V84" s="381"/>
      <c r="W84" s="319" t="str">
        <f t="shared" ref="W84:W85" si="25">""&amp;TEXT(G84,"000,00")&amp;" шт.ед. х норматив "&amp;TEXT(I84,"0,00")&amp;" руб. х "&amp;TEXT(K84,"00,0")&amp;" мес.  = "&amp;TEXT(M84,"0 000,00")&amp;" руб. = "&amp;TEXT(O84,"0 000,00")&amp;" руб."</f>
        <v>213,00 шт.ед. х норматив 174,99 руб. х 12,0 мес.  = 447 274,00 руб. = 447 280,00 руб.</v>
      </c>
    </row>
    <row r="85" spans="1:23" ht="22.5" customHeight="1" x14ac:dyDescent="0.25">
      <c r="A85" s="468"/>
      <c r="B85" s="377"/>
      <c r="C85" s="64"/>
      <c r="D85" s="379"/>
      <c r="E85" s="379"/>
      <c r="F85" s="68" t="str">
        <f>F16</f>
        <v>норматив на 2026 год :</v>
      </c>
      <c r="G85" s="322">
        <v>213</v>
      </c>
      <c r="H85" s="67" t="s">
        <v>48</v>
      </c>
      <c r="I85" s="311">
        <v>181.97</v>
      </c>
      <c r="J85" s="67" t="s">
        <v>49</v>
      </c>
      <c r="K85" s="140">
        <v>12</v>
      </c>
      <c r="L85" s="67" t="s">
        <v>50</v>
      </c>
      <c r="M85" s="322">
        <f t="shared" si="23"/>
        <v>465115</v>
      </c>
      <c r="N85" s="67" t="s">
        <v>41</v>
      </c>
      <c r="O85" s="70">
        <f t="shared" si="24"/>
        <v>465120</v>
      </c>
      <c r="P85" s="71" t="s">
        <v>37</v>
      </c>
      <c r="Q85" s="67"/>
      <c r="R85" s="65"/>
      <c r="S85" s="65"/>
      <c r="T85" s="381"/>
      <c r="U85" s="381"/>
      <c r="V85" s="381"/>
      <c r="W85" s="319" t="str">
        <f t="shared" si="25"/>
        <v>213,00 шт.ед. х норматив 181,97 руб. х 12,0 мес.  = 465 115,00 руб. = 465 120,00 руб.</v>
      </c>
    </row>
    <row r="86" spans="1:23" ht="124.5" customHeight="1" x14ac:dyDescent="0.25">
      <c r="A86" s="383" t="s">
        <v>30</v>
      </c>
      <c r="B86" s="376" t="s">
        <v>106</v>
      </c>
      <c r="C86" s="64"/>
      <c r="D86" s="378">
        <v>226</v>
      </c>
      <c r="E86" s="378">
        <v>244</v>
      </c>
      <c r="F86" s="380" t="s">
        <v>248</v>
      </c>
      <c r="G86" s="380"/>
      <c r="H86" s="380"/>
      <c r="I86" s="380"/>
      <c r="J86" s="380"/>
      <c r="K86" s="380"/>
      <c r="L86" s="380"/>
      <c r="M86" s="380"/>
      <c r="N86" s="380"/>
      <c r="O86" s="380"/>
      <c r="P86" s="380"/>
      <c r="Q86" s="380"/>
      <c r="R86" s="380"/>
      <c r="S86" s="65"/>
      <c r="T86" s="381">
        <f>O88</f>
        <v>2840</v>
      </c>
      <c r="U86" s="385">
        <f>O89</f>
        <v>2970</v>
      </c>
      <c r="V86" s="381">
        <f>O90</f>
        <v>3110</v>
      </c>
      <c r="W86" s="319" t="s">
        <v>74</v>
      </c>
    </row>
    <row r="87" spans="1:23" ht="20.25" customHeight="1" outlineLevel="1" x14ac:dyDescent="0.25">
      <c r="A87" s="383"/>
      <c r="B87" s="377"/>
      <c r="C87" s="64"/>
      <c r="D87" s="379"/>
      <c r="E87" s="384"/>
      <c r="F87" s="61">
        <v>2022</v>
      </c>
      <c r="G87" s="322">
        <v>1</v>
      </c>
      <c r="H87" s="67" t="s">
        <v>252</v>
      </c>
      <c r="I87" s="322">
        <v>1</v>
      </c>
      <c r="J87" s="67" t="s">
        <v>73</v>
      </c>
      <c r="K87" s="322">
        <v>2500</v>
      </c>
      <c r="L87" s="67" t="s">
        <v>41</v>
      </c>
      <c r="M87" s="322">
        <f>ROUND((G87*I87*K87),0)</f>
        <v>2500</v>
      </c>
      <c r="N87" s="67" t="s">
        <v>37</v>
      </c>
      <c r="O87" s="70">
        <f>ROUNDUP((M87),-1)</f>
        <v>2500</v>
      </c>
      <c r="P87" s="71" t="s">
        <v>37</v>
      </c>
      <c r="Q87" s="67"/>
      <c r="R87" s="65"/>
      <c r="S87" s="65"/>
      <c r="T87" s="381"/>
      <c r="U87" s="386"/>
      <c r="V87" s="381"/>
    </row>
    <row r="88" spans="1:23" ht="15" x14ac:dyDescent="0.25">
      <c r="A88" s="383"/>
      <c r="B88" s="377"/>
      <c r="C88" s="64"/>
      <c r="D88" s="379"/>
      <c r="E88" s="384"/>
      <c r="F88" s="68" t="str">
        <f>F14</f>
        <v>норматив на 2024 год :</v>
      </c>
      <c r="G88" s="322">
        <v>1</v>
      </c>
      <c r="H88" s="65" t="s">
        <v>252</v>
      </c>
      <c r="I88" s="69">
        <v>1</v>
      </c>
      <c r="J88" s="67" t="str">
        <f>J87</f>
        <v>раз х средняя цена</v>
      </c>
      <c r="K88" s="322">
        <f>K87*1.0822*1.0487</f>
        <v>2837.25785</v>
      </c>
      <c r="L88" s="67" t="s">
        <v>41</v>
      </c>
      <c r="M88" s="322">
        <f t="shared" ref="M88:M90" si="26">ROUND((G88*I88*K88),0)</f>
        <v>2837</v>
      </c>
      <c r="N88" s="71" t="s">
        <v>37</v>
      </c>
      <c r="O88" s="70">
        <f t="shared" ref="O88:O90" si="27">ROUNDUP((M88),-1)</f>
        <v>2840</v>
      </c>
      <c r="P88" s="71" t="s">
        <v>37</v>
      </c>
      <c r="Q88" s="72"/>
      <c r="R88" s="71"/>
      <c r="S88" s="65"/>
      <c r="T88" s="381"/>
      <c r="U88" s="386"/>
      <c r="V88" s="381"/>
      <c r="W88" s="319" t="str">
        <f>""&amp;TEXT(G88,"0,0")&amp;" чел. х "&amp;TEXT(I88,"0,0")&amp;" раз х "&amp;TEXT(ROUND((K88),2),"0 000,00")&amp;" руб. = "&amp;TEXT(ROUND((M88),2),"0 000,00")&amp;" руб. = "&amp;TEXT(O88,"0 000,00")&amp;" руб."</f>
        <v>1,0 чел. х 1,0 раз х 2 837,26 руб. = 2 837,00 руб. = 2 840,00 руб.</v>
      </c>
    </row>
    <row r="89" spans="1:23" ht="15" customHeight="1" outlineLevel="1" collapsed="1" x14ac:dyDescent="0.25">
      <c r="A89" s="383"/>
      <c r="B89" s="377"/>
      <c r="C89" s="64"/>
      <c r="D89" s="379"/>
      <c r="E89" s="384"/>
      <c r="F89" s="68" t="str">
        <f>F15</f>
        <v>норматив на 2025 год :</v>
      </c>
      <c r="G89" s="322">
        <v>1</v>
      </c>
      <c r="H89" s="67" t="str">
        <f>H88</f>
        <v xml:space="preserve">чел. </v>
      </c>
      <c r="I89" s="69">
        <v>1</v>
      </c>
      <c r="J89" s="67" t="str">
        <f>J87</f>
        <v>раз х средняя цена</v>
      </c>
      <c r="K89" s="322">
        <f>K88*1.0457</f>
        <v>2966.9205337450003</v>
      </c>
      <c r="L89" s="67" t="s">
        <v>41</v>
      </c>
      <c r="M89" s="322">
        <f t="shared" si="26"/>
        <v>2967</v>
      </c>
      <c r="N89" s="71" t="s">
        <v>37</v>
      </c>
      <c r="O89" s="70">
        <f t="shared" si="27"/>
        <v>2970</v>
      </c>
      <c r="P89" s="71" t="s">
        <v>37</v>
      </c>
      <c r="Q89" s="93"/>
      <c r="R89" s="71"/>
      <c r="S89" s="65"/>
      <c r="T89" s="381"/>
      <c r="U89" s="386"/>
      <c r="V89" s="381"/>
      <c r="W89" s="319" t="str">
        <f t="shared" ref="W89:W90" si="28">""&amp;TEXT(G89,"0,0")&amp;" чел. х "&amp;TEXT(I89,"0,0")&amp;" раз х "&amp;TEXT(ROUND((K89),2),"0 000,00")&amp;" руб. = "&amp;TEXT(ROUND((M89),2),"0 000,00")&amp;" руб. = "&amp;TEXT(O89,"0 000,00")&amp;" руб."</f>
        <v>1,0 чел. х 1,0 раз х 2 966,92 руб. = 2 967,00 руб. = 2 970,00 руб.</v>
      </c>
    </row>
    <row r="90" spans="1:23" ht="15" x14ac:dyDescent="0.25">
      <c r="A90" s="383"/>
      <c r="B90" s="377"/>
      <c r="C90" s="64"/>
      <c r="D90" s="379"/>
      <c r="E90" s="384"/>
      <c r="F90" s="68" t="str">
        <f>F16</f>
        <v>норматив на 2026 год :</v>
      </c>
      <c r="G90" s="322">
        <v>1</v>
      </c>
      <c r="H90" s="67" t="str">
        <f>H88</f>
        <v xml:space="preserve">чел. </v>
      </c>
      <c r="I90" s="69">
        <v>1</v>
      </c>
      <c r="J90" s="67" t="str">
        <f>J87</f>
        <v>раз х средняя цена</v>
      </c>
      <c r="K90" s="322">
        <f>K89*1.0457</f>
        <v>3102.5088021371471</v>
      </c>
      <c r="L90" s="67" t="s">
        <v>41</v>
      </c>
      <c r="M90" s="322">
        <f t="shared" si="26"/>
        <v>3103</v>
      </c>
      <c r="N90" s="71" t="s">
        <v>37</v>
      </c>
      <c r="O90" s="70">
        <f t="shared" si="27"/>
        <v>3110</v>
      </c>
      <c r="P90" s="71" t="s">
        <v>37</v>
      </c>
      <c r="Q90" s="70"/>
      <c r="R90" s="71"/>
      <c r="S90" s="65"/>
      <c r="T90" s="382"/>
      <c r="U90" s="387"/>
      <c r="V90" s="382"/>
      <c r="W90" s="319" t="str">
        <f t="shared" si="28"/>
        <v>1,0 чел. х 1,0 раз х 3 102,51 руб. = 3 103,00 руб. = 3 110,00 руб.</v>
      </c>
    </row>
    <row r="91" spans="1:23" ht="120.75" customHeight="1" x14ac:dyDescent="0.25">
      <c r="A91" s="383" t="s">
        <v>31</v>
      </c>
      <c r="B91" s="376" t="s">
        <v>107</v>
      </c>
      <c r="C91" s="64"/>
      <c r="D91" s="378">
        <v>226</v>
      </c>
      <c r="E91" s="378">
        <v>244</v>
      </c>
      <c r="F91" s="380" t="s">
        <v>257</v>
      </c>
      <c r="G91" s="380"/>
      <c r="H91" s="380"/>
      <c r="I91" s="380"/>
      <c r="J91" s="380"/>
      <c r="K91" s="380"/>
      <c r="L91" s="380"/>
      <c r="M91" s="380"/>
      <c r="N91" s="380"/>
      <c r="O91" s="380"/>
      <c r="P91" s="380"/>
      <c r="Q91" s="380"/>
      <c r="R91" s="380"/>
      <c r="S91" s="65"/>
      <c r="T91" s="381">
        <f>O93</f>
        <v>31430</v>
      </c>
      <c r="U91" s="381">
        <f>O94</f>
        <v>32870</v>
      </c>
      <c r="V91" s="381">
        <f>O95</f>
        <v>34370</v>
      </c>
      <c r="W91" s="319" t="s">
        <v>69</v>
      </c>
    </row>
    <row r="92" spans="1:23" ht="17.25" customHeight="1" outlineLevel="1" x14ac:dyDescent="0.25">
      <c r="A92" s="383"/>
      <c r="B92" s="377"/>
      <c r="C92" s="64"/>
      <c r="D92" s="379"/>
      <c r="E92" s="384"/>
      <c r="F92" s="61">
        <v>2023</v>
      </c>
      <c r="G92" s="322">
        <v>1</v>
      </c>
      <c r="H92" s="67" t="s">
        <v>252</v>
      </c>
      <c r="I92" s="140">
        <v>222</v>
      </c>
      <c r="J92" s="67" t="s">
        <v>73</v>
      </c>
      <c r="K92" s="322"/>
      <c r="L92" s="67" t="s">
        <v>41</v>
      </c>
      <c r="M92" s="322">
        <f>ROUND((G92*I92*K92),0)</f>
        <v>0</v>
      </c>
      <c r="N92" s="67" t="s">
        <v>37</v>
      </c>
      <c r="O92" s="70">
        <f>ROUNDUP((M92),-1)</f>
        <v>0</v>
      </c>
      <c r="P92" s="71" t="s">
        <v>37</v>
      </c>
      <c r="Q92" s="67"/>
      <c r="R92" s="65"/>
      <c r="S92" s="65"/>
      <c r="T92" s="381"/>
      <c r="U92" s="381"/>
      <c r="V92" s="381"/>
    </row>
    <row r="93" spans="1:23" ht="18.75" customHeight="1" x14ac:dyDescent="0.25">
      <c r="A93" s="383"/>
      <c r="B93" s="377"/>
      <c r="C93" s="64"/>
      <c r="D93" s="379"/>
      <c r="E93" s="384"/>
      <c r="F93" s="68" t="str">
        <f>F14</f>
        <v>норматив на 2024 год :</v>
      </c>
      <c r="G93" s="322">
        <v>1</v>
      </c>
      <c r="H93" s="67" t="s">
        <v>252</v>
      </c>
      <c r="I93" s="140">
        <v>222</v>
      </c>
      <c r="J93" s="67" t="str">
        <f>J92</f>
        <v>раз х средняя цена</v>
      </c>
      <c r="K93" s="278">
        <f>135*1.0487</f>
        <v>141.5745</v>
      </c>
      <c r="L93" s="67" t="s">
        <v>41</v>
      </c>
      <c r="M93" s="322">
        <f t="shared" ref="M93:M95" si="29">ROUND((G93*I93*K93),0)</f>
        <v>31430</v>
      </c>
      <c r="N93" s="71" t="s">
        <v>37</v>
      </c>
      <c r="O93" s="70">
        <f t="shared" ref="O93:O95" si="30">ROUNDUP((M93),-1)</f>
        <v>31430</v>
      </c>
      <c r="P93" s="71" t="s">
        <v>37</v>
      </c>
      <c r="Q93" s="70"/>
      <c r="R93" s="72"/>
      <c r="S93" s="65"/>
      <c r="T93" s="381"/>
      <c r="U93" s="381"/>
      <c r="V93" s="381"/>
      <c r="W93" s="319" t="str">
        <f>""&amp;TEXT(G93,"0,0")&amp;" чел. х "&amp;TEXT(I93,"0,0")&amp;" раз х "&amp;TEXT(ROUND((K93),2),"0,00")&amp;" руб. = "&amp;TEXT(ROUND((M93),2),"0 000,00")&amp;" руб. = "&amp;TEXT(O93,"0 000,00")&amp;" руб."</f>
        <v>1,0 чел. х 222,0 раз х 141,57 руб. = 31 430,00 руб. = 31 430,00 руб.</v>
      </c>
    </row>
    <row r="94" spans="1:23" ht="19.5" customHeight="1" x14ac:dyDescent="0.25">
      <c r="A94" s="383"/>
      <c r="B94" s="377"/>
      <c r="C94" s="64"/>
      <c r="D94" s="379"/>
      <c r="E94" s="384"/>
      <c r="F94" s="68" t="str">
        <f>F15</f>
        <v>норматив на 2025 год :</v>
      </c>
      <c r="G94" s="322">
        <v>1</v>
      </c>
      <c r="H94" s="67" t="str">
        <f>H93</f>
        <v xml:space="preserve">чел. </v>
      </c>
      <c r="I94" s="140">
        <v>222</v>
      </c>
      <c r="J94" s="67" t="str">
        <f>J92</f>
        <v>раз х средняя цена</v>
      </c>
      <c r="K94" s="278">
        <f>K93*1.0457</f>
        <v>148.04445465000001</v>
      </c>
      <c r="L94" s="67" t="s">
        <v>41</v>
      </c>
      <c r="M94" s="322">
        <f t="shared" si="29"/>
        <v>32866</v>
      </c>
      <c r="N94" s="71" t="s">
        <v>37</v>
      </c>
      <c r="O94" s="70">
        <f t="shared" si="30"/>
        <v>32870</v>
      </c>
      <c r="P94" s="71" t="s">
        <v>37</v>
      </c>
      <c r="Q94" s="70"/>
      <c r="R94" s="72"/>
      <c r="S94" s="65"/>
      <c r="T94" s="381"/>
      <c r="U94" s="381"/>
      <c r="V94" s="381"/>
      <c r="W94" s="319" t="str">
        <f t="shared" ref="W94:W95" si="31">""&amp;TEXT(G94,"0,0")&amp;" чел. х "&amp;TEXT(I94,"0,0")&amp;" раз х "&amp;TEXT(ROUND((K94),2),"0,00")&amp;" руб. = "&amp;TEXT(ROUND((M94),2),"0 000,00")&amp;" руб. = "&amp;TEXT(O94,"0 000,00")&amp;" руб."</f>
        <v>1,0 чел. х 222,0 раз х 148,04 руб. = 32 866,00 руб. = 32 870,00 руб.</v>
      </c>
    </row>
    <row r="95" spans="1:23" ht="19.5" customHeight="1" x14ac:dyDescent="0.25">
      <c r="A95" s="383"/>
      <c r="B95" s="377"/>
      <c r="C95" s="64"/>
      <c r="D95" s="379"/>
      <c r="E95" s="384"/>
      <c r="F95" s="68" t="str">
        <f>F16</f>
        <v>норматив на 2026 год :</v>
      </c>
      <c r="G95" s="322">
        <v>1</v>
      </c>
      <c r="H95" s="67" t="str">
        <f>H93</f>
        <v xml:space="preserve">чел. </v>
      </c>
      <c r="I95" s="140">
        <v>222</v>
      </c>
      <c r="J95" s="67" t="str">
        <f>J92</f>
        <v>раз х средняя цена</v>
      </c>
      <c r="K95" s="278">
        <f>K94*1.0457</f>
        <v>154.81008622750502</v>
      </c>
      <c r="L95" s="67" t="s">
        <v>41</v>
      </c>
      <c r="M95" s="322">
        <f t="shared" si="29"/>
        <v>34368</v>
      </c>
      <c r="N95" s="71" t="s">
        <v>37</v>
      </c>
      <c r="O95" s="70">
        <f t="shared" si="30"/>
        <v>34370</v>
      </c>
      <c r="P95" s="71" t="s">
        <v>37</v>
      </c>
      <c r="Q95" s="70"/>
      <c r="R95" s="71"/>
      <c r="S95" s="65"/>
      <c r="T95" s="382"/>
      <c r="U95" s="382"/>
      <c r="V95" s="382"/>
      <c r="W95" s="319" t="str">
        <f t="shared" si="31"/>
        <v>1,0 чел. х 222,0 раз х 154,81 руб. = 34 368,00 руб. = 34 370,00 руб.</v>
      </c>
    </row>
    <row r="96" spans="1:23" ht="117" customHeight="1" x14ac:dyDescent="0.25">
      <c r="A96" s="383" t="s">
        <v>131</v>
      </c>
      <c r="B96" s="376" t="s">
        <v>184</v>
      </c>
      <c r="C96" s="64"/>
      <c r="D96" s="378">
        <v>226</v>
      </c>
      <c r="E96" s="378">
        <v>244</v>
      </c>
      <c r="F96" s="380" t="s">
        <v>358</v>
      </c>
      <c r="G96" s="380"/>
      <c r="H96" s="380"/>
      <c r="I96" s="380"/>
      <c r="J96" s="380"/>
      <c r="K96" s="380"/>
      <c r="L96" s="380"/>
      <c r="M96" s="380"/>
      <c r="N96" s="380"/>
      <c r="O96" s="380"/>
      <c r="P96" s="380"/>
      <c r="Q96" s="380"/>
      <c r="R96" s="380"/>
      <c r="S96" s="65"/>
      <c r="T96" s="381">
        <f>O98</f>
        <v>150110</v>
      </c>
      <c r="U96" s="381">
        <f>O99</f>
        <v>156970</v>
      </c>
      <c r="V96" s="381">
        <f>O100</f>
        <v>164150</v>
      </c>
      <c r="W96" s="319" t="s">
        <v>374</v>
      </c>
    </row>
    <row r="97" spans="1:24" ht="16.5" customHeight="1" outlineLevel="1" x14ac:dyDescent="0.25">
      <c r="A97" s="383"/>
      <c r="B97" s="377"/>
      <c r="C97" s="64"/>
      <c r="D97" s="379"/>
      <c r="E97" s="384"/>
      <c r="F97" s="61"/>
      <c r="G97" s="322">
        <v>8760</v>
      </c>
      <c r="H97" s="65" t="s">
        <v>375</v>
      </c>
      <c r="I97" s="322"/>
      <c r="J97" s="67" t="s">
        <v>250</v>
      </c>
      <c r="K97" s="322">
        <f>I97*G97</f>
        <v>0</v>
      </c>
      <c r="L97" s="67" t="s">
        <v>41</v>
      </c>
      <c r="M97" s="322">
        <f>ROUND((K97),0)</f>
        <v>0</v>
      </c>
      <c r="N97" s="67" t="s">
        <v>37</v>
      </c>
      <c r="O97" s="70">
        <f>ROUNDUP((M97),-1)</f>
        <v>0</v>
      </c>
      <c r="P97" s="71" t="s">
        <v>37</v>
      </c>
      <c r="Q97" s="67"/>
      <c r="R97" s="65"/>
      <c r="S97" s="65"/>
      <c r="T97" s="381"/>
      <c r="U97" s="381"/>
      <c r="V97" s="381"/>
      <c r="W97" s="319"/>
    </row>
    <row r="98" spans="1:24" ht="21" customHeight="1" x14ac:dyDescent="0.25">
      <c r="A98" s="383"/>
      <c r="B98" s="377"/>
      <c r="C98" s="64"/>
      <c r="D98" s="379"/>
      <c r="E98" s="384"/>
      <c r="F98" s="68" t="str">
        <f>F14</f>
        <v>норматив на 2024 год :</v>
      </c>
      <c r="G98" s="322">
        <v>8760</v>
      </c>
      <c r="H98" s="65" t="s">
        <v>375</v>
      </c>
      <c r="I98" s="278">
        <f>16.34*1.0487</f>
        <v>17.135757999999999</v>
      </c>
      <c r="J98" s="67" t="str">
        <f>J97</f>
        <v>руб. цена одного часа</v>
      </c>
      <c r="K98" s="322">
        <f t="shared" ref="K98:K100" si="32">I98*G98</f>
        <v>150109.24007999999</v>
      </c>
      <c r="L98" s="67" t="s">
        <v>41</v>
      </c>
      <c r="M98" s="322">
        <f t="shared" ref="M98:M100" si="33">ROUND((K98),0)</f>
        <v>150109</v>
      </c>
      <c r="N98" s="71" t="s">
        <v>37</v>
      </c>
      <c r="O98" s="70">
        <f t="shared" ref="O98:O100" si="34">ROUNDUP((M98),-1)</f>
        <v>150110</v>
      </c>
      <c r="P98" s="71" t="s">
        <v>37</v>
      </c>
      <c r="Q98" s="70"/>
      <c r="R98" s="71"/>
      <c r="S98" s="65"/>
      <c r="T98" s="381"/>
      <c r="U98" s="381"/>
      <c r="V98" s="381"/>
      <c r="W98" s="319" t="str">
        <f>""&amp;TEXT($G$97,"0,0")&amp;" х "&amp;TEXT($I$98,"00,00")&amp;" руб. х "&amp;TEXT(ROUND((K98),2),"0 000,00")&amp;" руб. = "&amp;TEXT(ROUND(M98,2),"0 000,00")&amp;" руб. = "&amp;TEXT(O98,"0 000,00")&amp;" руб."</f>
        <v>8760,0 х 17,14 руб. х 150 109,24 руб. = 150 109,00 руб. = 150 110,00 руб.</v>
      </c>
    </row>
    <row r="99" spans="1:24" ht="21" customHeight="1" x14ac:dyDescent="0.25">
      <c r="A99" s="383"/>
      <c r="B99" s="377"/>
      <c r="C99" s="64"/>
      <c r="D99" s="379"/>
      <c r="E99" s="384"/>
      <c r="F99" s="68" t="str">
        <f>F15</f>
        <v>норматив на 2025 год :</v>
      </c>
      <c r="G99" s="322">
        <v>8760</v>
      </c>
      <c r="H99" s="65" t="s">
        <v>375</v>
      </c>
      <c r="I99" s="278">
        <f>I98*1.0457</f>
        <v>17.918862140600002</v>
      </c>
      <c r="J99" s="67" t="str">
        <f>J97</f>
        <v>руб. цена одного часа</v>
      </c>
      <c r="K99" s="322">
        <f t="shared" si="32"/>
        <v>156969.23235165601</v>
      </c>
      <c r="L99" s="67" t="s">
        <v>41</v>
      </c>
      <c r="M99" s="322">
        <f t="shared" si="33"/>
        <v>156969</v>
      </c>
      <c r="N99" s="71" t="s">
        <v>37</v>
      </c>
      <c r="O99" s="70">
        <f t="shared" si="34"/>
        <v>156970</v>
      </c>
      <c r="P99" s="71" t="s">
        <v>37</v>
      </c>
      <c r="Q99" s="70"/>
      <c r="R99" s="71"/>
      <c r="S99" s="65"/>
      <c r="T99" s="381"/>
      <c r="U99" s="381"/>
      <c r="V99" s="381"/>
      <c r="W99" s="319" t="str">
        <f>""&amp;TEXT($G$97,"0,0")&amp;" х "&amp;TEXT($I$99,"0,00")&amp;" раз х "&amp;TEXT(ROUND((K99),2),"0 000,00")&amp;" руб. = "&amp;TEXT(ROUND(M99,2),"0 000,00")&amp;" руб. = "&amp;TEXT(O99,"0 000,00")&amp;" руб."</f>
        <v>8760,0 х 17,92 раз х 156 969,23 руб. = 156 969,00 руб. = 156 970,00 руб.</v>
      </c>
    </row>
    <row r="100" spans="1:24" ht="21" customHeight="1" x14ac:dyDescent="0.25">
      <c r="A100" s="383"/>
      <c r="B100" s="377"/>
      <c r="C100" s="64"/>
      <c r="D100" s="379"/>
      <c r="E100" s="384"/>
      <c r="F100" s="68" t="str">
        <f>F16</f>
        <v>норматив на 2026 год :</v>
      </c>
      <c r="G100" s="322">
        <v>8760</v>
      </c>
      <c r="H100" s="65" t="s">
        <v>375</v>
      </c>
      <c r="I100" s="278">
        <f>I99*1.0457</f>
        <v>18.737754140425423</v>
      </c>
      <c r="J100" s="67" t="str">
        <f>J97</f>
        <v>руб. цена одного часа</v>
      </c>
      <c r="K100" s="322">
        <f t="shared" si="32"/>
        <v>164142.7262701267</v>
      </c>
      <c r="L100" s="67" t="s">
        <v>41</v>
      </c>
      <c r="M100" s="322">
        <f t="shared" si="33"/>
        <v>164143</v>
      </c>
      <c r="N100" s="71" t="s">
        <v>37</v>
      </c>
      <c r="O100" s="70">
        <f t="shared" si="34"/>
        <v>164150</v>
      </c>
      <c r="P100" s="71" t="s">
        <v>37</v>
      </c>
      <c r="Q100" s="70"/>
      <c r="R100" s="71"/>
      <c r="S100" s="65"/>
      <c r="T100" s="382"/>
      <c r="U100" s="382"/>
      <c r="V100" s="382"/>
      <c r="W100" s="319" t="str">
        <f>""&amp;TEXT($G$97,"0,0")&amp;" х "&amp;TEXT($I$100,"0,00")&amp;" раз х "&amp;TEXT(ROUND((K100),2),"0 000,00")&amp;" руб. = "&amp;TEXT(ROUND(M100,2),"0 000,00")&amp;" руб. = "&amp;TEXT(O100,"0 000,00")&amp;" руб."</f>
        <v>8760,0 х 18,74 раз х 164 142,73 руб. = 164 143,00 руб. = 164 150,00 руб.</v>
      </c>
    </row>
    <row r="101" spans="1:24" ht="75" x14ac:dyDescent="0.25">
      <c r="A101" s="383" t="s">
        <v>349</v>
      </c>
      <c r="B101" s="376" t="s">
        <v>108</v>
      </c>
      <c r="C101" s="64"/>
      <c r="D101" s="378">
        <v>227</v>
      </c>
      <c r="E101" s="378">
        <v>244</v>
      </c>
      <c r="F101" s="380" t="s">
        <v>257</v>
      </c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0"/>
      <c r="S101" s="65"/>
      <c r="T101" s="381">
        <f>O103</f>
        <v>14660</v>
      </c>
      <c r="U101" s="381">
        <f>O104</f>
        <v>15330</v>
      </c>
      <c r="V101" s="381">
        <f>O105</f>
        <v>16030</v>
      </c>
      <c r="W101" s="319" t="s">
        <v>71</v>
      </c>
    </row>
    <row r="102" spans="1:24" ht="15.75" customHeight="1" outlineLevel="1" x14ac:dyDescent="0.25">
      <c r="A102" s="383"/>
      <c r="B102" s="377"/>
      <c r="C102" s="64"/>
      <c r="D102" s="379"/>
      <c r="E102" s="384"/>
      <c r="F102" s="61"/>
      <c r="G102" s="322">
        <v>1</v>
      </c>
      <c r="H102" s="65"/>
      <c r="I102" s="322"/>
      <c r="J102" s="67"/>
      <c r="K102" s="322"/>
      <c r="L102" s="67"/>
      <c r="M102" s="67"/>
      <c r="N102" s="67"/>
      <c r="O102" s="67"/>
      <c r="P102" s="67"/>
      <c r="Q102" s="67"/>
      <c r="R102" s="65"/>
      <c r="S102" s="65"/>
      <c r="T102" s="381"/>
      <c r="U102" s="381"/>
      <c r="V102" s="381"/>
      <c r="W102" s="319"/>
    </row>
    <row r="103" spans="1:24" ht="19.5" customHeight="1" x14ac:dyDescent="0.25">
      <c r="A103" s="383"/>
      <c r="B103" s="377"/>
      <c r="C103" s="64"/>
      <c r="D103" s="379"/>
      <c r="E103" s="384"/>
      <c r="F103" s="68" t="str">
        <f>F14</f>
        <v>норматив на 2024 год :</v>
      </c>
      <c r="G103" s="322">
        <v>1</v>
      </c>
      <c r="H103" s="65" t="s">
        <v>376</v>
      </c>
      <c r="I103" s="278">
        <f>13975.9*1.0487</f>
        <v>14656.526329999999</v>
      </c>
      <c r="J103" s="67" t="s">
        <v>41</v>
      </c>
      <c r="K103" s="322">
        <f>I103*G103</f>
        <v>14656.526329999999</v>
      </c>
      <c r="L103" s="67" t="s">
        <v>41</v>
      </c>
      <c r="M103" s="70">
        <f>ROUNDUP((K103),0)</f>
        <v>14657</v>
      </c>
      <c r="N103" s="71" t="s">
        <v>37</v>
      </c>
      <c r="O103" s="70">
        <f>ROUNDUP((M103),-1)</f>
        <v>14660</v>
      </c>
      <c r="P103" s="71" t="s">
        <v>37</v>
      </c>
      <c r="Q103" s="72"/>
      <c r="R103" s="72"/>
      <c r="S103" s="65"/>
      <c r="T103" s="381"/>
      <c r="U103" s="381"/>
      <c r="V103" s="381"/>
      <c r="W103" s="319" t="str">
        <f>""&amp;TEXT(G103,"0,0")&amp;" авт. х "&amp;TEXT(ROUND((I103),2),"0 000,00")&amp;" руб. = "&amp;TEXT(ROUND(($G$102*(ROUND((K103/$G$102),2))),2),"0 000,00")&amp;" руб. = "&amp;TEXT(M103,"0 000,00")&amp;" руб. = "&amp;TEXT(O103,"0 000,00")&amp;" руб."</f>
        <v>1,0 авт. х 14 656,53 руб. = 14 656,53 руб. = 14 657,00 руб. = 14 660,00 руб.</v>
      </c>
    </row>
    <row r="104" spans="1:24" ht="19.5" customHeight="1" x14ac:dyDescent="0.25">
      <c r="A104" s="383"/>
      <c r="B104" s="377"/>
      <c r="C104" s="64"/>
      <c r="D104" s="379"/>
      <c r="E104" s="384"/>
      <c r="F104" s="68" t="str">
        <f>F15</f>
        <v>норматив на 2025 год :</v>
      </c>
      <c r="G104" s="322">
        <v>1</v>
      </c>
      <c r="H104" s="65" t="s">
        <v>376</v>
      </c>
      <c r="I104" s="278">
        <f>I103*1.0457</f>
        <v>15326.329583281</v>
      </c>
      <c r="J104" s="67" t="s">
        <v>41</v>
      </c>
      <c r="K104" s="322">
        <f t="shared" ref="K104:K105" si="35">I104*G104</f>
        <v>15326.329583281</v>
      </c>
      <c r="L104" s="67" t="s">
        <v>41</v>
      </c>
      <c r="M104" s="70">
        <f t="shared" ref="M104:M105" si="36">ROUNDUP((K104),0)</f>
        <v>15327</v>
      </c>
      <c r="N104" s="71" t="s">
        <v>37</v>
      </c>
      <c r="O104" s="70">
        <f t="shared" ref="O104:O105" si="37">ROUNDUP((M104),-1)</f>
        <v>15330</v>
      </c>
      <c r="P104" s="71" t="s">
        <v>37</v>
      </c>
      <c r="Q104" s="72"/>
      <c r="R104" s="72"/>
      <c r="S104" s="65"/>
      <c r="T104" s="381"/>
      <c r="U104" s="381"/>
      <c r="V104" s="381"/>
      <c r="W104" s="319" t="str">
        <f>""&amp;TEXT(G104,"0,0")&amp;" авт. х "&amp;TEXT(ROUND((K104/$G$102),2),"0 000,00")&amp;" руб. = "&amp;TEXT(ROUND(($G$102*(ROUND((K104/$G$102),2))),2),"0 000,00")&amp;" руб. = "&amp;TEXT(M104,"0 000,00")&amp;" руб. = "&amp;TEXT(O104,"0 000,00")&amp;" руб."</f>
        <v>1,0 авт. х 15 326,33 руб. = 15 326,33 руб. = 15 327,00 руб. = 15 330,00 руб.</v>
      </c>
    </row>
    <row r="105" spans="1:24" s="95" customFormat="1" ht="19.5" customHeight="1" x14ac:dyDescent="0.25">
      <c r="A105" s="383"/>
      <c r="B105" s="377"/>
      <c r="C105" s="64"/>
      <c r="D105" s="379"/>
      <c r="E105" s="384"/>
      <c r="F105" s="68" t="str">
        <f>F16</f>
        <v>норматив на 2026 год :</v>
      </c>
      <c r="G105" s="322">
        <v>1</v>
      </c>
      <c r="H105" s="65" t="s">
        <v>376</v>
      </c>
      <c r="I105" s="278">
        <f>I104*1.0457</f>
        <v>16026.742845236942</v>
      </c>
      <c r="J105" s="67" t="s">
        <v>41</v>
      </c>
      <c r="K105" s="322">
        <f t="shared" si="35"/>
        <v>16026.742845236942</v>
      </c>
      <c r="L105" s="67" t="s">
        <v>41</v>
      </c>
      <c r="M105" s="70">
        <f t="shared" si="36"/>
        <v>16027</v>
      </c>
      <c r="N105" s="71" t="s">
        <v>37</v>
      </c>
      <c r="O105" s="70">
        <f t="shared" si="37"/>
        <v>16030</v>
      </c>
      <c r="P105" s="71" t="s">
        <v>37</v>
      </c>
      <c r="Q105" s="70"/>
      <c r="R105" s="71"/>
      <c r="S105" s="65"/>
      <c r="T105" s="382"/>
      <c r="U105" s="382"/>
      <c r="V105" s="382"/>
      <c r="W105" s="319" t="str">
        <f>""&amp;TEXT(G105,"0,0")&amp;" авт. х "&amp;TEXT(ROUND((K105/$G$102),2),"0 000,00")&amp;" руб. = "&amp;TEXT(ROUND(($G$102*(ROUND((K105/$G$102),2))),2),"0 000,00")&amp;" руб. = "&amp;TEXT(M105,"0 000,00")&amp;" руб. = "&amp;TEXT(O105,"0 000,00")&amp;" руб."</f>
        <v>1,0 авт. х 16 026,74 руб. = 16 026,74 руб. = 16 027,00 руб. = 16 030,00 руб.</v>
      </c>
      <c r="X105" s="94"/>
    </row>
    <row r="106" spans="1:24" s="95" customFormat="1" ht="106.5" customHeight="1" x14ac:dyDescent="0.25">
      <c r="A106" s="284" t="s">
        <v>14</v>
      </c>
      <c r="B106" s="317" t="s">
        <v>101</v>
      </c>
      <c r="C106" s="52"/>
      <c r="D106" s="248" t="s">
        <v>35</v>
      </c>
      <c r="E106" s="248" t="s">
        <v>35</v>
      </c>
      <c r="F106" s="423"/>
      <c r="G106" s="424"/>
      <c r="H106" s="424"/>
      <c r="I106" s="424"/>
      <c r="J106" s="424"/>
      <c r="K106" s="424"/>
      <c r="L106" s="424"/>
      <c r="M106" s="424"/>
      <c r="N106" s="424"/>
      <c r="O106" s="424"/>
      <c r="P106" s="424"/>
      <c r="Q106" s="424"/>
      <c r="R106" s="424"/>
      <c r="S106" s="424"/>
      <c r="T106" s="254">
        <f>SUM(T107:T125)</f>
        <v>3905170</v>
      </c>
      <c r="U106" s="254">
        <f t="shared" ref="U106:V106" si="38">SUM(U107:U125)</f>
        <v>4078260</v>
      </c>
      <c r="V106" s="254">
        <f t="shared" si="38"/>
        <v>4256680</v>
      </c>
      <c r="W106" s="86" t="str">
        <f>"Нормативные "&amp;TEXT(B106,"0")&amp;" включают в себя:
нормативные "&amp;TEXT(B107,"0")&amp;";
нормативные "&amp;TEXT(B111,"0")&amp;"; нормативные "&amp;TEXT(B116,"0")&amp;";
нормативные "&amp;TEXT(B121,"0")&amp;""</f>
        <v>Нормативные затраты на приобретение основных средств включают в себя:
нормативные затраты на приобретение  комплекта мебели;
нормативные затраты на приобретение систем кондиционирования; нормативные затраты на приобретение огнетушителей ;
нормативные Затраты на приобретение прочих основных средств для обеспечения деятельности учреждения</v>
      </c>
    </row>
    <row r="107" spans="1:24" s="95" customFormat="1" ht="121.5" customHeight="1" x14ac:dyDescent="0.25">
      <c r="A107" s="469" t="s">
        <v>15</v>
      </c>
      <c r="B107" s="431" t="s">
        <v>383</v>
      </c>
      <c r="C107" s="64"/>
      <c r="D107" s="394">
        <v>310</v>
      </c>
      <c r="E107" s="394">
        <v>244</v>
      </c>
      <c r="F107" s="472" t="s">
        <v>260</v>
      </c>
      <c r="G107" s="473"/>
      <c r="H107" s="473"/>
      <c r="I107" s="473"/>
      <c r="J107" s="473"/>
      <c r="K107" s="473"/>
      <c r="L107" s="473"/>
      <c r="M107" s="473"/>
      <c r="N107" s="473"/>
      <c r="O107" s="473"/>
      <c r="P107" s="473"/>
      <c r="Q107" s="473"/>
      <c r="R107" s="474"/>
      <c r="S107" s="65"/>
      <c r="T107" s="385">
        <f>Q108</f>
        <v>1314530</v>
      </c>
      <c r="U107" s="385">
        <f>Q109</f>
        <v>1369220</v>
      </c>
      <c r="V107" s="385">
        <f>Q110</f>
        <v>1423850</v>
      </c>
      <c r="W107" s="319" t="s">
        <v>54</v>
      </c>
    </row>
    <row r="108" spans="1:24" s="95" customFormat="1" ht="21" customHeight="1" x14ac:dyDescent="0.25">
      <c r="A108" s="470"/>
      <c r="B108" s="432"/>
      <c r="C108" s="64"/>
      <c r="D108" s="395"/>
      <c r="E108" s="395"/>
      <c r="F108" s="68" t="str">
        <f>F14</f>
        <v>норматив на 2024 год :</v>
      </c>
      <c r="G108" s="332">
        <v>49372</v>
      </c>
      <c r="H108" s="67" t="s">
        <v>42</v>
      </c>
      <c r="I108" s="322">
        <v>213</v>
      </c>
      <c r="J108" s="67" t="s">
        <v>45</v>
      </c>
      <c r="K108" s="322">
        <v>8</v>
      </c>
      <c r="L108" s="67" t="s">
        <v>43</v>
      </c>
      <c r="M108" s="322">
        <v>0</v>
      </c>
      <c r="N108" s="67" t="s">
        <v>44</v>
      </c>
      <c r="O108" s="322">
        <f>ROUND((G108*(I108/K108+M108)),2)</f>
        <v>1314529.5</v>
      </c>
      <c r="P108" s="67" t="s">
        <v>332</v>
      </c>
      <c r="Q108" s="70">
        <f t="shared" ref="Q108:Q110" si="39">ROUNDUP((O108),-1)</f>
        <v>1314530</v>
      </c>
      <c r="R108" s="71" t="s">
        <v>37</v>
      </c>
      <c r="S108" s="65"/>
      <c r="T108" s="386"/>
      <c r="U108" s="386"/>
      <c r="V108" s="386"/>
      <c r="W108" s="319" t="str">
        <f>"норматив "&amp;TEXT(G108,"0 000,00")&amp;" руб. х ("&amp;TEXT(I108,"000,00")&amp;" шт.ед. : срок "&amp;TEXT(K108,"0")&amp;" лет + "&amp;TEXT(M108,"0,00")&amp;" шт.ед.) = "&amp;TEXT(O108,"0 000,00")&amp;" руб. = "&amp;TEXT(Q108,"0 000,00")&amp;" руб."</f>
        <v>норматив 49 372,00 руб. х (213,00 шт.ед. : срок 8 лет + 0,00 шт.ед.) = 1 314 529,50 руб. = 1 314 530,00 руб.</v>
      </c>
      <c r="X108" s="94"/>
    </row>
    <row r="109" spans="1:24" s="95" customFormat="1" ht="21" customHeight="1" x14ac:dyDescent="0.25">
      <c r="A109" s="470"/>
      <c r="B109" s="432"/>
      <c r="C109" s="64"/>
      <c r="D109" s="395"/>
      <c r="E109" s="395"/>
      <c r="F109" s="68" t="str">
        <f>F15</f>
        <v>норматив на 2025 год :</v>
      </c>
      <c r="G109" s="332">
        <v>51425.88</v>
      </c>
      <c r="H109" s="67" t="s">
        <v>42</v>
      </c>
      <c r="I109" s="322">
        <v>213</v>
      </c>
      <c r="J109" s="67" t="s">
        <v>45</v>
      </c>
      <c r="K109" s="322">
        <v>8</v>
      </c>
      <c r="L109" s="67" t="s">
        <v>43</v>
      </c>
      <c r="M109" s="322">
        <v>0</v>
      </c>
      <c r="N109" s="67" t="s">
        <v>44</v>
      </c>
      <c r="O109" s="322">
        <f>ROUND((G109*(I109/K109+M109)),2)</f>
        <v>1369214.06</v>
      </c>
      <c r="P109" s="67" t="s">
        <v>332</v>
      </c>
      <c r="Q109" s="70">
        <f t="shared" si="39"/>
        <v>1369220</v>
      </c>
      <c r="R109" s="71" t="s">
        <v>37</v>
      </c>
      <c r="S109" s="65"/>
      <c r="T109" s="386"/>
      <c r="U109" s="386"/>
      <c r="V109" s="386"/>
      <c r="W109" s="319" t="str">
        <f t="shared" ref="W109:W110" si="40">"норматив "&amp;TEXT(G109,"0 000,00")&amp;" руб. х ("&amp;TEXT(I109,"000,00")&amp;" шт.ед. : срок "&amp;TEXT(K109,"0")&amp;" лет + "&amp;TEXT(M109,"0,00")&amp;" шт.ед.) = "&amp;TEXT(O109,"0 000,00")&amp;" руб. = "&amp;TEXT(Q109,"0 000,00")&amp;" руб."</f>
        <v>норматив 51 425,88 руб. х (213,00 шт.ед. : срок 8 лет + 0,00 шт.ед.) = 1 369 214,06 руб. = 1 369 220,00 руб.</v>
      </c>
      <c r="X109" s="94"/>
    </row>
    <row r="110" spans="1:24" s="95" customFormat="1" ht="21" customHeight="1" x14ac:dyDescent="0.25">
      <c r="A110" s="471"/>
      <c r="B110" s="433"/>
      <c r="C110" s="64"/>
      <c r="D110" s="396"/>
      <c r="E110" s="396"/>
      <c r="F110" s="68" t="str">
        <f>F16</f>
        <v>норматив на 2026 год :</v>
      </c>
      <c r="G110" s="332">
        <v>53477.77</v>
      </c>
      <c r="H110" s="67" t="s">
        <v>42</v>
      </c>
      <c r="I110" s="322">
        <v>213</v>
      </c>
      <c r="J110" s="67" t="s">
        <v>45</v>
      </c>
      <c r="K110" s="322">
        <v>8</v>
      </c>
      <c r="L110" s="67" t="s">
        <v>43</v>
      </c>
      <c r="M110" s="322">
        <v>0</v>
      </c>
      <c r="N110" s="67" t="s">
        <v>44</v>
      </c>
      <c r="O110" s="322">
        <f>ROUND((G110*(I110/K110+M110)),2)</f>
        <v>1423845.63</v>
      </c>
      <c r="P110" s="67" t="s">
        <v>332</v>
      </c>
      <c r="Q110" s="70">
        <f t="shared" si="39"/>
        <v>1423850</v>
      </c>
      <c r="R110" s="71" t="s">
        <v>37</v>
      </c>
      <c r="S110" s="61"/>
      <c r="T110" s="387"/>
      <c r="U110" s="387"/>
      <c r="V110" s="387"/>
      <c r="W110" s="319" t="str">
        <f t="shared" si="40"/>
        <v>норматив 53 477,77 руб. х (213,00 шт.ед. : срок 8 лет + 0,00 шт.ед.) = 1 423 845,63 руб. = 1 423 850,00 руб.</v>
      </c>
    </row>
    <row r="111" spans="1:24" ht="75" x14ac:dyDescent="0.25">
      <c r="A111" s="388" t="s">
        <v>181</v>
      </c>
      <c r="B111" s="391" t="s">
        <v>147</v>
      </c>
      <c r="C111" s="64"/>
      <c r="D111" s="378">
        <v>310</v>
      </c>
      <c r="E111" s="378">
        <v>244</v>
      </c>
      <c r="F111" s="380" t="s">
        <v>249</v>
      </c>
      <c r="G111" s="380"/>
      <c r="H111" s="380"/>
      <c r="I111" s="380"/>
      <c r="J111" s="380"/>
      <c r="K111" s="380"/>
      <c r="L111" s="380"/>
      <c r="M111" s="380"/>
      <c r="N111" s="380"/>
      <c r="O111" s="380"/>
      <c r="P111" s="380"/>
      <c r="Q111" s="380"/>
      <c r="R111" s="380"/>
      <c r="S111" s="65"/>
      <c r="T111" s="381">
        <f>O113</f>
        <v>1671450</v>
      </c>
      <c r="U111" s="381">
        <f>O114</f>
        <v>1747840</v>
      </c>
      <c r="V111" s="381">
        <f>O115</f>
        <v>1827710</v>
      </c>
      <c r="W111" s="319" t="s">
        <v>169</v>
      </c>
    </row>
    <row r="112" spans="1:24" ht="24" customHeight="1" outlineLevel="1" x14ac:dyDescent="0.25">
      <c r="A112" s="389"/>
      <c r="B112" s="392"/>
      <c r="C112" s="64"/>
      <c r="D112" s="378"/>
      <c r="E112" s="378"/>
      <c r="F112" s="61">
        <v>2022</v>
      </c>
      <c r="G112" s="322">
        <v>30</v>
      </c>
      <c r="H112" s="67" t="s">
        <v>78</v>
      </c>
      <c r="I112" s="322">
        <v>49092.21</v>
      </c>
      <c r="J112" s="67" t="s">
        <v>41</v>
      </c>
      <c r="K112" s="322">
        <f>ROUND((G112*I112),2)</f>
        <v>1472766.3</v>
      </c>
      <c r="L112" s="67" t="s">
        <v>37</v>
      </c>
      <c r="M112" s="70">
        <f>ROUNDUP((K112),0)</f>
        <v>1472767</v>
      </c>
      <c r="N112" s="71" t="s">
        <v>37</v>
      </c>
      <c r="O112" s="70">
        <f t="shared" ref="O112:O125" si="41">ROUNDUP((M112),-1)</f>
        <v>1472770</v>
      </c>
      <c r="P112" s="67" t="s">
        <v>332</v>
      </c>
      <c r="Q112" s="67"/>
      <c r="R112" s="65"/>
      <c r="S112" s="65"/>
      <c r="T112" s="381"/>
      <c r="U112" s="381"/>
      <c r="V112" s="381"/>
      <c r="W112" s="319"/>
    </row>
    <row r="113" spans="1:23" ht="24.75" customHeight="1" x14ac:dyDescent="0.25">
      <c r="A113" s="389"/>
      <c r="B113" s="429"/>
      <c r="C113" s="64"/>
      <c r="D113" s="379"/>
      <c r="E113" s="379"/>
      <c r="F113" s="68" t="str">
        <f>F14</f>
        <v>норматив на 2024 год :</v>
      </c>
      <c r="G113" s="322">
        <v>30</v>
      </c>
      <c r="H113" s="67" t="s">
        <v>78</v>
      </c>
      <c r="I113" s="277">
        <f>I112*1.0822*1.0487</f>
        <v>55714.903278539394</v>
      </c>
      <c r="J113" s="67" t="s">
        <v>41</v>
      </c>
      <c r="K113" s="322">
        <f>ROUND((G113*I113),2)</f>
        <v>1671447.1</v>
      </c>
      <c r="L113" s="67" t="s">
        <v>41</v>
      </c>
      <c r="M113" s="70">
        <f t="shared" ref="M113:M115" si="42">ROUNDUP((K113),0)</f>
        <v>1671448</v>
      </c>
      <c r="N113" s="71" t="s">
        <v>37</v>
      </c>
      <c r="O113" s="70">
        <f t="shared" si="41"/>
        <v>1671450</v>
      </c>
      <c r="P113" s="67" t="s">
        <v>332</v>
      </c>
      <c r="Q113" s="67"/>
      <c r="R113" s="65"/>
      <c r="S113" s="65"/>
      <c r="T113" s="381"/>
      <c r="U113" s="381"/>
      <c r="V113" s="381"/>
      <c r="W113" s="319" t="str">
        <f>""&amp;TEXT(G113,"0,0")&amp;" шт. х "&amp;TEXT(ROUND((I113),2),"000,00")&amp;" руб. = "&amp;TEXT(ROUND(($G$123*(ROUND((K113/$G$123),2))),2),"0 000,00")&amp;" руб. = "&amp;TEXT(M113,"0 000,00")&amp;" руб. = "&amp;TEXT(O113,"0 000,00")&amp;" руб."</f>
        <v>30,0 шт. х 55714,90 руб. = 1 671 447,10 руб. = 1 671 448,00 руб. = 1 671 450,00 руб.</v>
      </c>
    </row>
    <row r="114" spans="1:23" ht="20.25" customHeight="1" outlineLevel="1" x14ac:dyDescent="0.25">
      <c r="A114" s="389"/>
      <c r="B114" s="429"/>
      <c r="C114" s="64"/>
      <c r="D114" s="379"/>
      <c r="E114" s="379"/>
      <c r="F114" s="68" t="str">
        <f>F15</f>
        <v>норматив на 2025 год :</v>
      </c>
      <c r="G114" s="322">
        <v>30</v>
      </c>
      <c r="H114" s="67" t="s">
        <v>78</v>
      </c>
      <c r="I114" s="277">
        <f>I113*1.0457</f>
        <v>58261.074358368649</v>
      </c>
      <c r="J114" s="67" t="s">
        <v>41</v>
      </c>
      <c r="K114" s="322">
        <f t="shared" ref="K114:K115" si="43">ROUND((G114*I114),2)</f>
        <v>1747832.23</v>
      </c>
      <c r="L114" s="67" t="s">
        <v>41</v>
      </c>
      <c r="M114" s="70">
        <f t="shared" si="42"/>
        <v>1747833</v>
      </c>
      <c r="N114" s="71" t="s">
        <v>37</v>
      </c>
      <c r="O114" s="70">
        <f t="shared" si="41"/>
        <v>1747840</v>
      </c>
      <c r="P114" s="67" t="s">
        <v>332</v>
      </c>
      <c r="Q114" s="93"/>
      <c r="R114" s="67"/>
      <c r="S114" s="65"/>
      <c r="T114" s="381"/>
      <c r="U114" s="381"/>
      <c r="V114" s="381"/>
      <c r="W114" s="319" t="str">
        <f>""&amp;TEXT(G114,"0,0")&amp;" шт. х "&amp;TEXT(ROUND((I114),2),"000,00")&amp;" руб. = "&amp;TEXT(ROUND(($G$123*(ROUND((K114/$G$123),2))),2),"0 000,00")&amp;" руб. = "&amp;TEXT(M114,"0 000,00")&amp;" руб. = "&amp;TEXT(O114,"0 000,00")&amp;" руб."</f>
        <v>30,0 шт. х 58261,07 руб. = 1 747 832,23 руб. = 1 747 833,00 руб. = 1 747 840,00 руб.</v>
      </c>
    </row>
    <row r="115" spans="1:23" ht="21" customHeight="1" outlineLevel="1" x14ac:dyDescent="0.25">
      <c r="A115" s="390"/>
      <c r="B115" s="430"/>
      <c r="C115" s="64"/>
      <c r="D115" s="379"/>
      <c r="E115" s="379"/>
      <c r="F115" s="68" t="str">
        <f>F16</f>
        <v>норматив на 2026 год :</v>
      </c>
      <c r="G115" s="322">
        <v>30</v>
      </c>
      <c r="H115" s="67" t="s">
        <v>78</v>
      </c>
      <c r="I115" s="277">
        <f>I114*1.0457</f>
        <v>60923.605456546102</v>
      </c>
      <c r="J115" s="67" t="s">
        <v>41</v>
      </c>
      <c r="K115" s="322">
        <f t="shared" si="43"/>
        <v>1827708.16</v>
      </c>
      <c r="L115" s="67" t="s">
        <v>41</v>
      </c>
      <c r="M115" s="70">
        <f t="shared" si="42"/>
        <v>1827709</v>
      </c>
      <c r="N115" s="71" t="s">
        <v>37</v>
      </c>
      <c r="O115" s="70">
        <f t="shared" si="41"/>
        <v>1827710</v>
      </c>
      <c r="P115" s="67" t="s">
        <v>332</v>
      </c>
      <c r="Q115" s="99"/>
      <c r="R115" s="71"/>
      <c r="S115" s="65"/>
      <c r="T115" s="381"/>
      <c r="U115" s="381"/>
      <c r="V115" s="381"/>
      <c r="W115" s="319" t="str">
        <f>""&amp;TEXT(G115,"0,0")&amp;" шт. х "&amp;TEXT(ROUND((I115),2),"000,00")&amp;" руб. = "&amp;TEXT(ROUND(($G$123*(ROUND((K115/$G$123),2))),2),"0 000,00")&amp;" руб. = "&amp;TEXT(M115,"0 000,00")&amp;" руб. = "&amp;TEXT(O115,"0 000,00")&amp;" руб."</f>
        <v>30,0 шт. х 60923,61 руб. = 1 827 708,16 руб. = 1 827 709,00 руб. = 1 827 710,00 руб.</v>
      </c>
    </row>
    <row r="116" spans="1:23" ht="90.75" customHeight="1" outlineLevel="1" x14ac:dyDescent="0.25">
      <c r="A116" s="388" t="s">
        <v>173</v>
      </c>
      <c r="B116" s="391" t="s">
        <v>361</v>
      </c>
      <c r="C116" s="64"/>
      <c r="D116" s="378">
        <v>310</v>
      </c>
      <c r="E116" s="378">
        <v>244</v>
      </c>
      <c r="F116" s="380" t="s">
        <v>249</v>
      </c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65"/>
      <c r="T116" s="381">
        <f>O118</f>
        <v>64750</v>
      </c>
      <c r="U116" s="381">
        <f>O119</f>
        <v>67710</v>
      </c>
      <c r="V116" s="381">
        <f>O120</f>
        <v>70800</v>
      </c>
      <c r="W116" s="319" t="s">
        <v>297</v>
      </c>
    </row>
    <row r="117" spans="1:23" ht="21" customHeight="1" outlineLevel="1" x14ac:dyDescent="0.25">
      <c r="A117" s="389"/>
      <c r="B117" s="392"/>
      <c r="C117" s="64"/>
      <c r="D117" s="378"/>
      <c r="E117" s="378"/>
      <c r="F117" s="61">
        <v>2022</v>
      </c>
      <c r="G117" s="322">
        <v>61</v>
      </c>
      <c r="H117" s="67" t="s">
        <v>78</v>
      </c>
      <c r="I117" s="322">
        <f>ROUNDUP((57046.87/61),2)</f>
        <v>935.2</v>
      </c>
      <c r="J117" s="67" t="s">
        <v>41</v>
      </c>
      <c r="K117" s="322">
        <f>ROUND((G117*I117),2)</f>
        <v>57047.199999999997</v>
      </c>
      <c r="L117" s="67" t="s">
        <v>37</v>
      </c>
      <c r="M117" s="67"/>
      <c r="N117" s="67"/>
      <c r="O117" s="67"/>
      <c r="P117" s="67"/>
      <c r="Q117" s="67"/>
      <c r="R117" s="65"/>
      <c r="S117" s="65"/>
      <c r="T117" s="381"/>
      <c r="U117" s="381"/>
      <c r="V117" s="381"/>
    </row>
    <row r="118" spans="1:23" ht="21" customHeight="1" outlineLevel="1" x14ac:dyDescent="0.25">
      <c r="A118" s="389"/>
      <c r="B118" s="429"/>
      <c r="C118" s="64"/>
      <c r="D118" s="379"/>
      <c r="E118" s="379"/>
      <c r="F118" s="68" t="str">
        <f>F14</f>
        <v>норматив на 2024 год :</v>
      </c>
      <c r="G118" s="322">
        <v>61</v>
      </c>
      <c r="H118" s="65" t="s">
        <v>294</v>
      </c>
      <c r="I118" s="278">
        <f>I117*1.0822*1.0487</f>
        <v>1061.3614165280001</v>
      </c>
      <c r="J118" s="67" t="s">
        <v>41</v>
      </c>
      <c r="K118" s="322">
        <f>ROUND((G118*I118),2)</f>
        <v>64743.05</v>
      </c>
      <c r="L118" s="67" t="s">
        <v>41</v>
      </c>
      <c r="M118" s="70">
        <f t="shared" ref="M118:M120" si="44">ROUNDUP((K118),0)</f>
        <v>64744</v>
      </c>
      <c r="N118" s="71" t="s">
        <v>37</v>
      </c>
      <c r="O118" s="70">
        <f t="shared" si="41"/>
        <v>64750</v>
      </c>
      <c r="P118" s="67" t="s">
        <v>332</v>
      </c>
      <c r="Q118" s="72"/>
      <c r="R118" s="72"/>
      <c r="S118" s="65"/>
      <c r="T118" s="381"/>
      <c r="U118" s="381"/>
      <c r="V118" s="381"/>
      <c r="W118" s="319" t="str">
        <f>""&amp;TEXT(G118,"0,0")&amp;" шт. х "&amp;TEXT(ROUND((K118/G118),2),"0,00")&amp;" руб. = "&amp;TEXT(ROUND((G118*(ROUND((K118/G118),2))),2),"0 000,00")&amp;" руб. = "&amp;TEXT(O118,"0 000,00")&amp;" руб."</f>
        <v>61,0 шт. х 1061,36 руб. = 64 742,96 руб. = 64 750,00 руб.</v>
      </c>
    </row>
    <row r="119" spans="1:23" ht="21" customHeight="1" outlineLevel="1" x14ac:dyDescent="0.25">
      <c r="A119" s="389"/>
      <c r="B119" s="429"/>
      <c r="C119" s="64"/>
      <c r="D119" s="379"/>
      <c r="E119" s="379"/>
      <c r="F119" s="68" t="str">
        <f>F15</f>
        <v>норматив на 2025 год :</v>
      </c>
      <c r="G119" s="322">
        <v>61</v>
      </c>
      <c r="H119" s="67" t="str">
        <f>H118</f>
        <v>шт. х средняя цена с индексом потребительских цен</v>
      </c>
      <c r="I119" s="278">
        <f>I118*1.0457</f>
        <v>1109.8656332633298</v>
      </c>
      <c r="J119" s="67" t="s">
        <v>41</v>
      </c>
      <c r="K119" s="322">
        <f t="shared" ref="K119:K120" si="45">ROUND((G119*I119),2)</f>
        <v>67701.8</v>
      </c>
      <c r="L119" s="67" t="s">
        <v>41</v>
      </c>
      <c r="M119" s="70">
        <f t="shared" si="44"/>
        <v>67702</v>
      </c>
      <c r="N119" s="71" t="s">
        <v>37</v>
      </c>
      <c r="O119" s="70">
        <f t="shared" si="41"/>
        <v>67710</v>
      </c>
      <c r="P119" s="67" t="s">
        <v>332</v>
      </c>
      <c r="Q119" s="72"/>
      <c r="R119" s="72"/>
      <c r="S119" s="65"/>
      <c r="T119" s="381"/>
      <c r="U119" s="381"/>
      <c r="V119" s="381"/>
      <c r="W119" s="319" t="str">
        <f t="shared" ref="W119:W120" si="46">""&amp;TEXT(G119,"0,0")&amp;" шт. х "&amp;TEXT(ROUND((K119/G119),2),"0,00")&amp;" руб. = "&amp;TEXT(ROUND((G119*(ROUND((K119/G119),2))),2),"0 000,00")&amp;" руб. = "&amp;TEXT(O119,"0 000,00")&amp;" руб."</f>
        <v>61,0 шт. х 1109,87 руб. = 67 702,07 руб. = 67 710,00 руб.</v>
      </c>
    </row>
    <row r="120" spans="1:23" ht="21" customHeight="1" outlineLevel="1" x14ac:dyDescent="0.25">
      <c r="A120" s="390"/>
      <c r="B120" s="430"/>
      <c r="C120" s="64"/>
      <c r="D120" s="379"/>
      <c r="E120" s="379"/>
      <c r="F120" s="68" t="str">
        <f>F16</f>
        <v>норматив на 2026 год :</v>
      </c>
      <c r="G120" s="322">
        <v>61</v>
      </c>
      <c r="H120" s="67" t="str">
        <f>H118</f>
        <v>шт. х средняя цена с индексом потребительских цен</v>
      </c>
      <c r="I120" s="278">
        <f>I119*1.0457</f>
        <v>1160.586492703464</v>
      </c>
      <c r="J120" s="67" t="s">
        <v>41</v>
      </c>
      <c r="K120" s="322">
        <f t="shared" si="45"/>
        <v>70795.78</v>
      </c>
      <c r="L120" s="67" t="s">
        <v>41</v>
      </c>
      <c r="M120" s="70">
        <f t="shared" si="44"/>
        <v>70796</v>
      </c>
      <c r="N120" s="71" t="s">
        <v>37</v>
      </c>
      <c r="O120" s="70">
        <f t="shared" si="41"/>
        <v>70800</v>
      </c>
      <c r="P120" s="67" t="s">
        <v>332</v>
      </c>
      <c r="Q120" s="72"/>
      <c r="R120" s="72"/>
      <c r="S120" s="65"/>
      <c r="T120" s="381"/>
      <c r="U120" s="381"/>
      <c r="V120" s="381"/>
      <c r="W120" s="319" t="str">
        <f t="shared" si="46"/>
        <v>61,0 шт. х 1160,59 руб. = 70 795,99 руб. = 70 800,00 руб.</v>
      </c>
    </row>
    <row r="121" spans="1:23" ht="75" x14ac:dyDescent="0.25">
      <c r="A121" s="426" t="s">
        <v>298</v>
      </c>
      <c r="B121" s="391" t="s">
        <v>351</v>
      </c>
      <c r="C121" s="64"/>
      <c r="D121" s="378">
        <v>310</v>
      </c>
      <c r="E121" s="378">
        <v>244</v>
      </c>
      <c r="F121" s="380" t="s">
        <v>249</v>
      </c>
      <c r="G121" s="380"/>
      <c r="H121" s="380"/>
      <c r="I121" s="380"/>
      <c r="J121" s="380"/>
      <c r="K121" s="380"/>
      <c r="L121" s="380"/>
      <c r="M121" s="380"/>
      <c r="N121" s="380"/>
      <c r="O121" s="380"/>
      <c r="P121" s="380"/>
      <c r="Q121" s="380"/>
      <c r="R121" s="380"/>
      <c r="S121" s="65"/>
      <c r="T121" s="381">
        <f>O123</f>
        <v>854440</v>
      </c>
      <c r="U121" s="381">
        <f>O124</f>
        <v>893490</v>
      </c>
      <c r="V121" s="381">
        <f>O125</f>
        <v>934320</v>
      </c>
      <c r="W121" s="319" t="s">
        <v>170</v>
      </c>
    </row>
    <row r="122" spans="1:23" ht="21.75" customHeight="1" outlineLevel="1" x14ac:dyDescent="0.25">
      <c r="A122" s="427"/>
      <c r="B122" s="429"/>
      <c r="C122" s="64"/>
      <c r="D122" s="379"/>
      <c r="E122" s="379"/>
      <c r="F122" s="68">
        <v>2022</v>
      </c>
      <c r="G122" s="278">
        <v>1</v>
      </c>
      <c r="H122" s="67" t="s">
        <v>259</v>
      </c>
      <c r="I122" s="278">
        <v>752874.28</v>
      </c>
      <c r="J122" s="67" t="s">
        <v>41</v>
      </c>
      <c r="K122" s="322">
        <f>ROUND((G122*I122),2)</f>
        <v>752874.28</v>
      </c>
      <c r="L122" s="67" t="s">
        <v>37</v>
      </c>
      <c r="M122" s="70">
        <f>ROUNDUP((K122),0)</f>
        <v>752875</v>
      </c>
      <c r="N122" s="71" t="s">
        <v>37</v>
      </c>
      <c r="O122" s="70">
        <f t="shared" si="41"/>
        <v>752880</v>
      </c>
      <c r="P122" s="67" t="s">
        <v>332</v>
      </c>
      <c r="Q122" s="67"/>
      <c r="R122" s="65"/>
      <c r="S122" s="65"/>
      <c r="T122" s="381"/>
      <c r="U122" s="381"/>
      <c r="V122" s="381"/>
    </row>
    <row r="123" spans="1:23" ht="23.25" customHeight="1" x14ac:dyDescent="0.25">
      <c r="A123" s="427"/>
      <c r="B123" s="429"/>
      <c r="C123" s="64"/>
      <c r="D123" s="379"/>
      <c r="E123" s="379"/>
      <c r="F123" s="68" t="str">
        <f>F14</f>
        <v>норматив на 2024 год :</v>
      </c>
      <c r="G123" s="278">
        <v>1</v>
      </c>
      <c r="H123" s="67" t="s">
        <v>259</v>
      </c>
      <c r="I123" s="277">
        <f>I122*1.0822*1.0487</f>
        <v>854439.38439723931</v>
      </c>
      <c r="J123" s="67" t="s">
        <v>41</v>
      </c>
      <c r="K123" s="322">
        <f>ROUND((G123*I123),2)</f>
        <v>854439.38</v>
      </c>
      <c r="L123" s="67" t="s">
        <v>41</v>
      </c>
      <c r="M123" s="70">
        <f t="shared" ref="M123:M125" si="47">ROUNDUP((K123),0)</f>
        <v>854440</v>
      </c>
      <c r="N123" s="71" t="s">
        <v>37</v>
      </c>
      <c r="O123" s="70">
        <f t="shared" si="41"/>
        <v>854440</v>
      </c>
      <c r="P123" s="67" t="s">
        <v>332</v>
      </c>
      <c r="Q123" s="67"/>
      <c r="R123" s="65"/>
      <c r="S123" s="65"/>
      <c r="T123" s="381"/>
      <c r="U123" s="381"/>
      <c r="V123" s="381"/>
      <c r="W123" s="319" t="str">
        <f>""&amp;TEXT($G$123,"0,0")&amp;" у.е. х "&amp;TEXT(ROUND((K123/$G$123),2),"000,00")&amp;" руб. = "&amp;TEXT(ROUND(($G$123*(ROUND((K123/$G$123),2))),2),"0 000,00")&amp;" руб. = "&amp;TEXT(M123,"0 000,00")&amp;" руб.= "&amp;TEXT(O123,"0 000,00")&amp;" руб."</f>
        <v>1,0 у.е. х 854439,38 руб. = 854 439,38 руб. = 854 440,00 руб.= 854 440,00 руб.</v>
      </c>
    </row>
    <row r="124" spans="1:23" ht="18" customHeight="1" outlineLevel="1" x14ac:dyDescent="0.25">
      <c r="A124" s="427"/>
      <c r="B124" s="429"/>
      <c r="C124" s="64"/>
      <c r="D124" s="379"/>
      <c r="E124" s="379"/>
      <c r="F124" s="68" t="str">
        <f>F15</f>
        <v>норматив на 2025 год :</v>
      </c>
      <c r="G124" s="278">
        <v>1</v>
      </c>
      <c r="H124" s="67" t="s">
        <v>259</v>
      </c>
      <c r="I124" s="277">
        <f>I123*1.0457</f>
        <v>893487.26426419325</v>
      </c>
      <c r="J124" s="67" t="s">
        <v>41</v>
      </c>
      <c r="K124" s="322">
        <f t="shared" ref="K124:K125" si="48">ROUND((G124*I124),2)</f>
        <v>893487.26</v>
      </c>
      <c r="L124" s="67" t="s">
        <v>41</v>
      </c>
      <c r="M124" s="70">
        <f t="shared" si="47"/>
        <v>893488</v>
      </c>
      <c r="N124" s="71" t="s">
        <v>37</v>
      </c>
      <c r="O124" s="70">
        <f t="shared" si="41"/>
        <v>893490</v>
      </c>
      <c r="P124" s="67" t="s">
        <v>332</v>
      </c>
      <c r="Q124" s="93"/>
      <c r="R124" s="67"/>
      <c r="S124" s="65"/>
      <c r="T124" s="381"/>
      <c r="U124" s="381"/>
      <c r="V124" s="381"/>
      <c r="W124" s="319" t="str">
        <f>""&amp;TEXT($G$123,"0,0")&amp;" у.е. х "&amp;TEXT(ROUND((K124/$G$123),2),"000,00")&amp;" руб. = "&amp;TEXT(ROUND(($G$123*(ROUND((K124/$G$123),2))),2),"0 000,00")&amp;" руб. = "&amp;TEXT(M124,"0 000,00")&amp;" руб.= "&amp;TEXT(O124,"0 000,00")&amp;" руб."</f>
        <v>1,0 у.е. х 893487,26 руб. = 893 487,26 руб. = 893 488,00 руб.= 893 490,00 руб.</v>
      </c>
    </row>
    <row r="125" spans="1:23" ht="19.5" customHeight="1" outlineLevel="1" x14ac:dyDescent="0.25">
      <c r="A125" s="428"/>
      <c r="B125" s="430"/>
      <c r="C125" s="64"/>
      <c r="D125" s="379"/>
      <c r="E125" s="379"/>
      <c r="F125" s="68" t="str">
        <f>F16</f>
        <v>норматив на 2026 год :</v>
      </c>
      <c r="G125" s="278">
        <v>1</v>
      </c>
      <c r="H125" s="67" t="s">
        <v>259</v>
      </c>
      <c r="I125" s="277">
        <f>I124*1.0457</f>
        <v>934319.63224106689</v>
      </c>
      <c r="J125" s="67" t="s">
        <v>41</v>
      </c>
      <c r="K125" s="322">
        <f t="shared" si="48"/>
        <v>934319.63</v>
      </c>
      <c r="L125" s="67" t="s">
        <v>41</v>
      </c>
      <c r="M125" s="70">
        <f t="shared" si="47"/>
        <v>934320</v>
      </c>
      <c r="N125" s="71" t="s">
        <v>37</v>
      </c>
      <c r="O125" s="70">
        <f t="shared" si="41"/>
        <v>934320</v>
      </c>
      <c r="P125" s="67" t="s">
        <v>332</v>
      </c>
      <c r="Q125" s="99"/>
      <c r="R125" s="71"/>
      <c r="S125" s="65"/>
      <c r="T125" s="381"/>
      <c r="U125" s="381"/>
      <c r="V125" s="381"/>
      <c r="W125" s="319" t="str">
        <f>""&amp;TEXT($G$123,"0,0")&amp;" у.е. х "&amp;TEXT(ROUND((K125/$G$123),2),"000,00")&amp;" руб. = "&amp;TEXT(ROUND(($G$123*(ROUND((K125/$G$123),2))),2),"0 000,00")&amp;" руб. = "&amp;TEXT(M125,"0 000,00")&amp;" руб.= "&amp;TEXT(O125,"0 000,00")&amp;" руб."</f>
        <v>1,0 у.е. х 934319,63 руб. = 934 319,63 руб. = 934 320,00 руб.= 934 320,00 руб.</v>
      </c>
    </row>
    <row r="126" spans="1:23" ht="153.75" customHeight="1" x14ac:dyDescent="0.25">
      <c r="A126" s="282" t="s">
        <v>16</v>
      </c>
      <c r="B126" s="316" t="s">
        <v>97</v>
      </c>
      <c r="C126" s="52"/>
      <c r="D126" s="323" t="s">
        <v>35</v>
      </c>
      <c r="E126" s="323" t="s">
        <v>35</v>
      </c>
      <c r="F126" s="423"/>
      <c r="G126" s="424"/>
      <c r="H126" s="424"/>
      <c r="I126" s="424"/>
      <c r="J126" s="424"/>
      <c r="K126" s="424"/>
      <c r="L126" s="424"/>
      <c r="M126" s="424"/>
      <c r="N126" s="424"/>
      <c r="O126" s="424"/>
      <c r="P126" s="424"/>
      <c r="Q126" s="424"/>
      <c r="R126" s="424"/>
      <c r="S126" s="424"/>
      <c r="T126" s="255">
        <f>T127+T132+T136+T141+T146+T151+T156+T161+T166+T171+T176</f>
        <v>5833244</v>
      </c>
      <c r="U126" s="255">
        <f>U127+U132+U136+U141+U146+U151+U156+U161+U166+U171+U176</f>
        <v>6083140</v>
      </c>
      <c r="V126" s="255">
        <f>V127+V132+V136+V141+V146+V151+V156+V161+V166+V171+V176</f>
        <v>6336619</v>
      </c>
      <c r="W126" s="319" t="str">
        <f>"Нормативные "&amp;TEXT(B126,"0")&amp;" включают в себя:
нормативные "&amp;TEXT(B127,"0")&amp;"; нормативные "&amp;TEXT(B132,"0")&amp;"; нормативные "&amp;TEXT(B136,"0")&amp;"; нормативные "&amp;TEXT(B132,"0")&amp;"; нормативные "&amp;TEXT(B141,"0")&amp;"; нормативные "&amp;TEXT(B146,"0")&amp;"; нормативные "&amp;TEXT(B151,"0")&amp;"; нормативные "&amp;TEXT(B156,"0")&amp;"; 
нормативные "&amp;TEXT(B161,"0")&amp;"; нормативные "&amp;TEXT(B166,"0")&amp;"; нормативные "&amp;TEXT(B171,"0")&amp;";
нормативные "&amp;TEXT(B176,"0")&amp;""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 бланочной продукции; нормативные затраты на приобретение  канцелярских принадлежностей; нормативные затраты на приобретение горюче-смазочных материалов; нормативные затраты на приобретение  канцелярских принадлежностей; нормативные затраты на приобретение противогазов; нормативные затраты на приобретение комплектов индивидуальной медицинской гражданской защиты; нормативные затраты на приобретение аптечки первой помощи; нормативные затраты на приобретение  пакетов перевязочных индивидуальных; 
нормативные затраты на приобретение индивидуальных противохимических пакетов; нормативные затраты на приобретение запасных частей для мебели; нормативные затраты на приобретение масок медицинских одноразовых;
нормативные затраты на приобретение шин для автомобиля</v>
      </c>
    </row>
    <row r="127" spans="1:23" ht="98.25" customHeight="1" x14ac:dyDescent="0.25">
      <c r="A127" s="383" t="s">
        <v>17</v>
      </c>
      <c r="B127" s="376" t="s">
        <v>353</v>
      </c>
      <c r="C127" s="64"/>
      <c r="D127" s="378">
        <v>346</v>
      </c>
      <c r="E127" s="378">
        <v>244</v>
      </c>
      <c r="F127" s="380" t="s">
        <v>249</v>
      </c>
      <c r="G127" s="380"/>
      <c r="H127" s="380"/>
      <c r="I127" s="380"/>
      <c r="J127" s="380"/>
      <c r="K127" s="380"/>
      <c r="L127" s="380"/>
      <c r="M127" s="380"/>
      <c r="N127" s="380"/>
      <c r="O127" s="380"/>
      <c r="P127" s="380"/>
      <c r="Q127" s="380"/>
      <c r="R127" s="380"/>
      <c r="S127" s="65"/>
      <c r="T127" s="381">
        <f>O129</f>
        <v>10000</v>
      </c>
      <c r="U127" s="381">
        <f>O130</f>
        <v>10450</v>
      </c>
      <c r="V127" s="381">
        <f>O131</f>
        <v>10930</v>
      </c>
      <c r="W127" s="327" t="s">
        <v>360</v>
      </c>
    </row>
    <row r="128" spans="1:23" ht="21" customHeight="1" x14ac:dyDescent="0.25">
      <c r="A128" s="383"/>
      <c r="B128" s="376"/>
      <c r="C128" s="64"/>
      <c r="D128" s="378"/>
      <c r="E128" s="378"/>
      <c r="F128" s="68">
        <v>2022</v>
      </c>
      <c r="G128" s="328">
        <v>20</v>
      </c>
      <c r="H128" s="326"/>
      <c r="I128" s="326">
        <v>440.3</v>
      </c>
      <c r="J128" s="326"/>
      <c r="K128" s="326"/>
      <c r="L128" s="326"/>
      <c r="M128" s="326"/>
      <c r="N128" s="326"/>
      <c r="O128" s="326"/>
      <c r="P128" s="326"/>
      <c r="Q128" s="326"/>
      <c r="R128" s="326"/>
      <c r="S128" s="65"/>
      <c r="T128" s="381"/>
      <c r="U128" s="381"/>
      <c r="V128" s="381"/>
      <c r="W128" s="327"/>
    </row>
    <row r="129" spans="1:23" ht="21.75" customHeight="1" x14ac:dyDescent="0.25">
      <c r="A129" s="383"/>
      <c r="B129" s="377"/>
      <c r="C129" s="64"/>
      <c r="D129" s="379"/>
      <c r="E129" s="379"/>
      <c r="F129" s="68">
        <f>F10</f>
        <v>0</v>
      </c>
      <c r="G129" s="328">
        <f>G128</f>
        <v>20</v>
      </c>
      <c r="H129" s="67" t="s">
        <v>48</v>
      </c>
      <c r="I129" s="277">
        <f>I128*1.0822*1.0487</f>
        <v>499.69785254200002</v>
      </c>
      <c r="J129" s="67" t="s">
        <v>41</v>
      </c>
      <c r="K129" s="328">
        <f>ROUND((G129*I129),2)</f>
        <v>9993.9599999999991</v>
      </c>
      <c r="L129" s="67" t="s">
        <v>41</v>
      </c>
      <c r="M129" s="70">
        <f>ROUNDDOWN((K129),0)</f>
        <v>9993</v>
      </c>
      <c r="N129" s="71" t="s">
        <v>37</v>
      </c>
      <c r="O129" s="70">
        <f t="shared" ref="O129:O131" si="49">ROUNDUP((M129),-1)</f>
        <v>10000</v>
      </c>
      <c r="P129" s="67" t="s">
        <v>332</v>
      </c>
      <c r="Q129" s="67"/>
      <c r="R129" s="65"/>
      <c r="S129" s="65"/>
      <c r="T129" s="381"/>
      <c r="U129" s="381"/>
      <c r="V129" s="381"/>
      <c r="W129" s="327" t="str">
        <f>""&amp;TEXT(G129,"0,0")&amp;" шт.ед. х норматив "&amp;TEXT(I129,"0,00")&amp;" руб. = "&amp;TEXT(K129,"0 000,00")&amp;" руб. = "&amp;TEXT(M129,"0 000,00")&amp;" руб.= "&amp;TEXT(O129,"0 000,00")&amp;" руб."</f>
        <v>20,0 шт.ед. х норматив 499,70 руб. = 9 993,96 руб. = 9 993,00 руб.= 10 000,00 руб.</v>
      </c>
    </row>
    <row r="130" spans="1:23" ht="18.75" customHeight="1" x14ac:dyDescent="0.25">
      <c r="A130" s="383"/>
      <c r="B130" s="377"/>
      <c r="C130" s="64"/>
      <c r="D130" s="379"/>
      <c r="E130" s="379"/>
      <c r="F130" s="68">
        <f>F11</f>
        <v>0</v>
      </c>
      <c r="G130" s="328">
        <f>G128</f>
        <v>20</v>
      </c>
      <c r="H130" s="67" t="s">
        <v>48</v>
      </c>
      <c r="I130" s="277">
        <f>I129*1.0457</f>
        <v>522.53404440316945</v>
      </c>
      <c r="J130" s="67" t="s">
        <v>41</v>
      </c>
      <c r="K130" s="328">
        <f t="shared" ref="K130:K131" si="50">ROUND((G130*I130),2)</f>
        <v>10450.68</v>
      </c>
      <c r="L130" s="67" t="s">
        <v>41</v>
      </c>
      <c r="M130" s="70">
        <f t="shared" ref="M130:M131" si="51">ROUNDDOWN((K130),0)</f>
        <v>10450</v>
      </c>
      <c r="N130" s="71" t="s">
        <v>37</v>
      </c>
      <c r="O130" s="70">
        <f t="shared" si="49"/>
        <v>10450</v>
      </c>
      <c r="P130" s="67" t="s">
        <v>332</v>
      </c>
      <c r="Q130" s="67"/>
      <c r="R130" s="65"/>
      <c r="S130" s="65"/>
      <c r="T130" s="381"/>
      <c r="U130" s="381"/>
      <c r="V130" s="381"/>
      <c r="W130" s="327" t="str">
        <f>""&amp;TEXT(G130,"0,0")&amp;" шт.ед. х норматив "&amp;TEXT(I130,"0,00")&amp;" руб. = "&amp;TEXT(K130,"0 000,00")&amp;" руб. = "&amp;TEXT(M130,"0 000,00")&amp;" руб.= "&amp;TEXT(O130,"0 000,00")&amp;" руб."</f>
        <v>20,0 шт.ед. х норматив 522,53 руб. = 10 450,68 руб. = 10 450,00 руб.= 10 450,00 руб.</v>
      </c>
    </row>
    <row r="131" spans="1:23" ht="18.75" customHeight="1" x14ac:dyDescent="0.25">
      <c r="A131" s="383"/>
      <c r="B131" s="377"/>
      <c r="C131" s="64"/>
      <c r="D131" s="379"/>
      <c r="E131" s="379"/>
      <c r="F131" s="68">
        <f>F12</f>
        <v>0</v>
      </c>
      <c r="G131" s="328">
        <f>G128</f>
        <v>20</v>
      </c>
      <c r="H131" s="67" t="s">
        <v>48</v>
      </c>
      <c r="I131" s="277">
        <f>I130*1.0457</f>
        <v>546.41385023239434</v>
      </c>
      <c r="J131" s="67" t="s">
        <v>41</v>
      </c>
      <c r="K131" s="328">
        <f t="shared" si="50"/>
        <v>10928.28</v>
      </c>
      <c r="L131" s="67" t="s">
        <v>41</v>
      </c>
      <c r="M131" s="70">
        <f t="shared" si="51"/>
        <v>10928</v>
      </c>
      <c r="N131" s="71" t="s">
        <v>37</v>
      </c>
      <c r="O131" s="70">
        <f t="shared" si="49"/>
        <v>10930</v>
      </c>
      <c r="P131" s="67" t="s">
        <v>332</v>
      </c>
      <c r="Q131" s="67"/>
      <c r="R131" s="65"/>
      <c r="S131" s="65"/>
      <c r="T131" s="381"/>
      <c r="U131" s="381"/>
      <c r="V131" s="381"/>
      <c r="W131" s="327" t="str">
        <f>""&amp;TEXT(G131,"0,0")&amp;" шт.ед. х норматив "&amp;TEXT(I131,"0,00")&amp;" руб. = "&amp;TEXT(K131,"0 000,00")&amp;" руб. = "&amp;TEXT(M131,"0 000,00")&amp;" руб.= "&amp;TEXT(O131,"0 000,00")&amp;" руб."</f>
        <v>20,0 шт.ед. х норматив 546,41 руб. = 10 928,28 руб. = 10 928,00 руб.= 10 930,00 руб.</v>
      </c>
    </row>
    <row r="132" spans="1:23" ht="85.5" customHeight="1" x14ac:dyDescent="0.25">
      <c r="A132" s="468" t="s">
        <v>18</v>
      </c>
      <c r="B132" s="376" t="s">
        <v>352</v>
      </c>
      <c r="C132" s="64"/>
      <c r="D132" s="378">
        <v>346</v>
      </c>
      <c r="E132" s="378">
        <v>244</v>
      </c>
      <c r="F132" s="458" t="s">
        <v>262</v>
      </c>
      <c r="G132" s="458"/>
      <c r="H132" s="458"/>
      <c r="I132" s="458"/>
      <c r="J132" s="458"/>
      <c r="K132" s="458"/>
      <c r="L132" s="458"/>
      <c r="M132" s="458"/>
      <c r="N132" s="458"/>
      <c r="O132" s="458"/>
      <c r="P132" s="458"/>
      <c r="Q132" s="458"/>
      <c r="R132" s="458"/>
      <c r="S132" s="65"/>
      <c r="T132" s="381">
        <f>O133</f>
        <v>4081300</v>
      </c>
      <c r="U132" s="381">
        <f>O134</f>
        <v>4251080</v>
      </c>
      <c r="V132" s="381">
        <f>O135</f>
        <v>4420700</v>
      </c>
      <c r="W132" s="319" t="s">
        <v>264</v>
      </c>
    </row>
    <row r="133" spans="1:23" ht="21.75" customHeight="1" x14ac:dyDescent="0.25">
      <c r="A133" s="468"/>
      <c r="B133" s="377"/>
      <c r="C133" s="64"/>
      <c r="D133" s="379"/>
      <c r="E133" s="379"/>
      <c r="F133" s="68" t="str">
        <f>F14</f>
        <v>норматив на 2024 год :</v>
      </c>
      <c r="G133" s="322">
        <v>213</v>
      </c>
      <c r="H133" s="67" t="s">
        <v>48</v>
      </c>
      <c r="I133" s="165">
        <v>19161</v>
      </c>
      <c r="J133" s="67" t="s">
        <v>41</v>
      </c>
      <c r="K133" s="322">
        <f>ROUND((G133*I133),2)</f>
        <v>4081293</v>
      </c>
      <c r="L133" s="67" t="s">
        <v>41</v>
      </c>
      <c r="M133" s="70">
        <f>ROUNDDOWN((K133),0)</f>
        <v>4081293</v>
      </c>
      <c r="N133" s="71" t="s">
        <v>37</v>
      </c>
      <c r="O133" s="70">
        <f t="shared" ref="O133:O135" si="52">ROUNDUP((M133),-1)</f>
        <v>4081300</v>
      </c>
      <c r="P133" s="67" t="s">
        <v>332</v>
      </c>
      <c r="Q133" s="67"/>
      <c r="R133" s="65"/>
      <c r="S133" s="65"/>
      <c r="T133" s="381"/>
      <c r="U133" s="381"/>
      <c r="V133" s="381"/>
      <c r="W133" s="319" t="str">
        <f>""&amp;TEXT(G133,"000,00")&amp;" шт.ед. х норматив "&amp;TEXT(I133,"0 000,00")&amp;" руб. = "&amp;TEXT(K133,"0 000,00")&amp;" руб. = "&amp;TEXT(M133,"0 000,00")&amp;" руб.= "&amp;TEXT(O133,"0 000,00")&amp;" руб."</f>
        <v>213,00 шт.ед. х норматив 19 161,00 руб. = 4 081 293,00 руб. = 4 081 293,00 руб.= 4 081 300,00 руб.</v>
      </c>
    </row>
    <row r="134" spans="1:23" ht="18.75" customHeight="1" x14ac:dyDescent="0.25">
      <c r="A134" s="468"/>
      <c r="B134" s="377"/>
      <c r="C134" s="64"/>
      <c r="D134" s="379"/>
      <c r="E134" s="379"/>
      <c r="F134" s="68" t="str">
        <f>F15</f>
        <v>норматив на 2025 год :</v>
      </c>
      <c r="G134" s="322">
        <v>213</v>
      </c>
      <c r="H134" s="67" t="s">
        <v>48</v>
      </c>
      <c r="I134" s="165">
        <v>19958.099999999999</v>
      </c>
      <c r="J134" s="67" t="s">
        <v>41</v>
      </c>
      <c r="K134" s="322">
        <f t="shared" ref="K134:K135" si="53">ROUND((G134*I134),2)</f>
        <v>4251075.3</v>
      </c>
      <c r="L134" s="67" t="s">
        <v>41</v>
      </c>
      <c r="M134" s="70">
        <f t="shared" ref="M134:M135" si="54">ROUNDDOWN((K134),0)</f>
        <v>4251075</v>
      </c>
      <c r="N134" s="71" t="s">
        <v>37</v>
      </c>
      <c r="O134" s="70">
        <f t="shared" si="52"/>
        <v>4251080</v>
      </c>
      <c r="P134" s="67" t="s">
        <v>332</v>
      </c>
      <c r="Q134" s="67"/>
      <c r="R134" s="65"/>
      <c r="S134" s="65"/>
      <c r="T134" s="381"/>
      <c r="U134" s="381"/>
      <c r="V134" s="381"/>
      <c r="W134" s="319" t="str">
        <f>""&amp;TEXT(G134,"000,00")&amp;" шт.ед. х норматив "&amp;TEXT(I134,"0 000,00")&amp;" руб. = "&amp;TEXT(K134,"0 000,00")&amp;" руб. = "&amp;TEXT(M134,"0 000,00")&amp;" руб.= "&amp;TEXT(O134,"0 000,00")&amp;" руб."</f>
        <v>213,00 шт.ед. х норматив 19 958,10 руб. = 4 251 075,30 руб. = 4 251 075,00 руб.= 4 251 080,00 руб.</v>
      </c>
    </row>
    <row r="135" spans="1:23" ht="18.75" customHeight="1" x14ac:dyDescent="0.25">
      <c r="A135" s="468"/>
      <c r="B135" s="377"/>
      <c r="C135" s="64"/>
      <c r="D135" s="379"/>
      <c r="E135" s="379"/>
      <c r="F135" s="68" t="str">
        <f>F16</f>
        <v>норматив на 2026 год :</v>
      </c>
      <c r="G135" s="322">
        <v>213</v>
      </c>
      <c r="H135" s="67" t="s">
        <v>48</v>
      </c>
      <c r="I135" s="165">
        <v>20754.43</v>
      </c>
      <c r="J135" s="67" t="s">
        <v>41</v>
      </c>
      <c r="K135" s="322">
        <f t="shared" si="53"/>
        <v>4420693.59</v>
      </c>
      <c r="L135" s="67" t="s">
        <v>41</v>
      </c>
      <c r="M135" s="70">
        <f t="shared" si="54"/>
        <v>4420693</v>
      </c>
      <c r="N135" s="71" t="s">
        <v>37</v>
      </c>
      <c r="O135" s="70">
        <f t="shared" si="52"/>
        <v>4420700</v>
      </c>
      <c r="P135" s="67" t="s">
        <v>332</v>
      </c>
      <c r="Q135" s="67"/>
      <c r="R135" s="65"/>
      <c r="S135" s="65"/>
      <c r="T135" s="381"/>
      <c r="U135" s="381"/>
      <c r="V135" s="381"/>
      <c r="W135" s="319" t="str">
        <f>""&amp;TEXT(G135,"000,00")&amp;" шт.ед. х норматив "&amp;TEXT(I135,"0 000,00")&amp;" руб. = "&amp;TEXT(K135,"0 000,00")&amp;" руб. = "&amp;TEXT(M135,"0 000,00")&amp;" руб.= "&amp;TEXT(O135,"0 000,00")&amp;" руб."</f>
        <v>213,00 шт.ед. х норматив 20 754,43 руб. = 4 420 693,59 руб. = 4 420 693,00 руб.= 4 420 700,00 руб.</v>
      </c>
    </row>
    <row r="136" spans="1:23" s="239" customFormat="1" ht="117.75" customHeight="1" x14ac:dyDescent="0.25">
      <c r="A136" s="383" t="s">
        <v>26</v>
      </c>
      <c r="B136" s="376" t="s">
        <v>100</v>
      </c>
      <c r="C136" s="64"/>
      <c r="D136" s="394">
        <v>343</v>
      </c>
      <c r="E136" s="394">
        <v>244</v>
      </c>
      <c r="F136" s="380" t="s">
        <v>331</v>
      </c>
      <c r="G136" s="380"/>
      <c r="H136" s="380"/>
      <c r="I136" s="380"/>
      <c r="J136" s="380"/>
      <c r="K136" s="380"/>
      <c r="L136" s="380"/>
      <c r="M136" s="380"/>
      <c r="N136" s="380"/>
      <c r="O136" s="380"/>
      <c r="P136" s="380"/>
      <c r="Q136" s="380"/>
      <c r="R136" s="380"/>
      <c r="S136" s="420">
        <f>M138</f>
        <v>41755</v>
      </c>
      <c r="T136" s="385">
        <f>O138</f>
        <v>41760</v>
      </c>
      <c r="U136" s="385">
        <f>O139</f>
        <v>43670</v>
      </c>
      <c r="V136" s="385">
        <f>O140</f>
        <v>45670</v>
      </c>
      <c r="W136" s="319" t="s">
        <v>302</v>
      </c>
    </row>
    <row r="137" spans="1:23" s="239" customFormat="1" ht="19.5" customHeight="1" x14ac:dyDescent="0.25">
      <c r="A137" s="383"/>
      <c r="B137" s="377"/>
      <c r="C137" s="64"/>
      <c r="D137" s="395"/>
      <c r="E137" s="395"/>
      <c r="F137" s="61"/>
      <c r="G137" s="322">
        <v>700</v>
      </c>
      <c r="H137" s="67" t="s">
        <v>303</v>
      </c>
      <c r="I137" s="322"/>
      <c r="J137" s="67" t="s">
        <v>41</v>
      </c>
      <c r="K137" s="322">
        <f>ROUND((G137*I137),2)</f>
        <v>0</v>
      </c>
      <c r="L137" s="67" t="s">
        <v>37</v>
      </c>
      <c r="M137" s="67"/>
      <c r="N137" s="67"/>
      <c r="O137" s="70">
        <f t="shared" ref="O137:O140" si="55">ROUNDUP((M137),-1)</f>
        <v>0</v>
      </c>
      <c r="P137" s="67"/>
      <c r="Q137" s="67"/>
      <c r="R137" s="65"/>
      <c r="S137" s="421"/>
      <c r="T137" s="386"/>
      <c r="U137" s="386"/>
      <c r="V137" s="386"/>
      <c r="W137" s="319"/>
    </row>
    <row r="138" spans="1:23" s="239" customFormat="1" ht="19.5" customHeight="1" x14ac:dyDescent="0.25">
      <c r="A138" s="383"/>
      <c r="B138" s="377"/>
      <c r="C138" s="64"/>
      <c r="D138" s="395"/>
      <c r="E138" s="395"/>
      <c r="F138" s="68" t="str">
        <f>F14</f>
        <v>норматив на 2024 год :</v>
      </c>
      <c r="G138" s="322">
        <f>G137</f>
        <v>700</v>
      </c>
      <c r="H138" s="65" t="s">
        <v>304</v>
      </c>
      <c r="I138" s="277">
        <f>56.88*1.0487</f>
        <v>59.650055999999999</v>
      </c>
      <c r="J138" s="67" t="s">
        <v>41</v>
      </c>
      <c r="K138" s="322">
        <f>ROUND((G138*I138),2)</f>
        <v>41755.040000000001</v>
      </c>
      <c r="L138" s="67" t="s">
        <v>41</v>
      </c>
      <c r="M138" s="70">
        <f>ROUNDDOWN((K138),0)</f>
        <v>41755</v>
      </c>
      <c r="N138" s="71" t="s">
        <v>37</v>
      </c>
      <c r="O138" s="70">
        <f t="shared" si="55"/>
        <v>41760</v>
      </c>
      <c r="P138" s="67" t="s">
        <v>332</v>
      </c>
      <c r="Q138" s="72"/>
      <c r="R138" s="72"/>
      <c r="S138" s="421"/>
      <c r="T138" s="386"/>
      <c r="U138" s="386"/>
      <c r="V138" s="386"/>
      <c r="W138" s="319" t="str">
        <f>""&amp;TEXT(G138,"0,0")&amp;" л. х "&amp;TEXT(ROUND((K138/G138),2),"0,00")&amp;" руб. = "&amp;TEXT(ROUND((G138*(ROUND((K138/G138),2))),2),"0 000,00")&amp;" руб. = "&amp;TEXT(O138,"0 000,00")&amp;" руб."</f>
        <v>700,0 л. х 59,65 руб. = 41 755,00 руб. = 41 760,00 руб.</v>
      </c>
    </row>
    <row r="139" spans="1:23" s="239" customFormat="1" ht="19.5" customHeight="1" x14ac:dyDescent="0.25">
      <c r="A139" s="383"/>
      <c r="B139" s="377"/>
      <c r="C139" s="64"/>
      <c r="D139" s="395"/>
      <c r="E139" s="395"/>
      <c r="F139" s="68" t="str">
        <f>F15</f>
        <v>норматив на 2025 год :</v>
      </c>
      <c r="G139" s="322">
        <f>G137</f>
        <v>700</v>
      </c>
      <c r="H139" s="67" t="str">
        <f>H138</f>
        <v>л. х средняя цена с индексом потребительских цен =</v>
      </c>
      <c r="I139" s="277">
        <f>ROUNDUP(I138*(1.0457),2)</f>
        <v>62.379999999999995</v>
      </c>
      <c r="J139" s="67" t="s">
        <v>41</v>
      </c>
      <c r="K139" s="322">
        <f t="shared" ref="K139:K140" si="56">ROUND((G139*I139),2)</f>
        <v>43666</v>
      </c>
      <c r="L139" s="67" t="s">
        <v>41</v>
      </c>
      <c r="M139" s="70">
        <f t="shared" ref="M139:M140" si="57">ROUNDDOWN((K139),0)</f>
        <v>43666</v>
      </c>
      <c r="N139" s="71" t="s">
        <v>37</v>
      </c>
      <c r="O139" s="70">
        <f t="shared" si="55"/>
        <v>43670</v>
      </c>
      <c r="P139" s="67" t="s">
        <v>332</v>
      </c>
      <c r="Q139" s="72"/>
      <c r="R139" s="72"/>
      <c r="S139" s="421"/>
      <c r="T139" s="386"/>
      <c r="U139" s="386"/>
      <c r="V139" s="386"/>
      <c r="W139" s="319" t="str">
        <f>""&amp;TEXT(G139,"0,0")&amp;" л. х "&amp;TEXT(ROUND((K139/G139),2),"0,00")&amp;" руб. = "&amp;TEXT(ROUND((G139*(ROUND((K139/G139),2))),2),"0 000,00")&amp;" руб. = "&amp;TEXT(O139,"0 000,00")&amp;" руб."</f>
        <v>700,0 л. х 62,38 руб. = 43 666,00 руб. = 43 670,00 руб.</v>
      </c>
    </row>
    <row r="140" spans="1:23" ht="24" customHeight="1" x14ac:dyDescent="0.25">
      <c r="A140" s="383"/>
      <c r="B140" s="377"/>
      <c r="C140" s="64"/>
      <c r="D140" s="396"/>
      <c r="E140" s="396"/>
      <c r="F140" s="68" t="str">
        <f>F16</f>
        <v>норматив на 2026 год :</v>
      </c>
      <c r="G140" s="322">
        <f>G137</f>
        <v>700</v>
      </c>
      <c r="H140" s="67" t="str">
        <f>H138</f>
        <v>л. х средняя цена с индексом потребительских цен =</v>
      </c>
      <c r="I140" s="277">
        <f>ROUNDUP(I139*(1.0457),2)</f>
        <v>65.240000000000009</v>
      </c>
      <c r="J140" s="67" t="s">
        <v>41</v>
      </c>
      <c r="K140" s="322">
        <f t="shared" si="56"/>
        <v>45668</v>
      </c>
      <c r="L140" s="67" t="s">
        <v>41</v>
      </c>
      <c r="M140" s="70">
        <f t="shared" si="57"/>
        <v>45668</v>
      </c>
      <c r="N140" s="71" t="s">
        <v>37</v>
      </c>
      <c r="O140" s="70">
        <f t="shared" si="55"/>
        <v>45670</v>
      </c>
      <c r="P140" s="67" t="s">
        <v>332</v>
      </c>
      <c r="Q140" s="72"/>
      <c r="R140" s="72"/>
      <c r="S140" s="422"/>
      <c r="T140" s="387"/>
      <c r="U140" s="387"/>
      <c r="V140" s="387"/>
      <c r="W140" s="319" t="str">
        <f>""&amp;TEXT(G140,"0,0")&amp;" л. х "&amp;TEXT(ROUND((K140/G140),2),"0,00")&amp;" руб. = "&amp;TEXT(ROUND((G140*(ROUND((K140/G140),2))),2),"0 000,00")&amp;" руб. = "&amp;TEXT(O140,"0 000,00")&amp;" руб."</f>
        <v>700,0 л. х 65,24 руб. = 45 668,00 руб. = 45 670,00 руб.</v>
      </c>
    </row>
    <row r="141" spans="1:23" ht="132" customHeight="1" outlineLevel="1" x14ac:dyDescent="0.25">
      <c r="A141" s="383" t="s">
        <v>200</v>
      </c>
      <c r="B141" s="376" t="s">
        <v>305</v>
      </c>
      <c r="C141" s="64"/>
      <c r="D141" s="378">
        <v>345</v>
      </c>
      <c r="E141" s="378">
        <v>244</v>
      </c>
      <c r="F141" s="380" t="s">
        <v>249</v>
      </c>
      <c r="G141" s="380"/>
      <c r="H141" s="380"/>
      <c r="I141" s="380"/>
      <c r="J141" s="380"/>
      <c r="K141" s="380"/>
      <c r="L141" s="380"/>
      <c r="M141" s="380"/>
      <c r="N141" s="380"/>
      <c r="O141" s="380"/>
      <c r="P141" s="380"/>
      <c r="Q141" s="380"/>
      <c r="R141" s="380"/>
      <c r="S141" s="477">
        <f>M143</f>
        <v>881252</v>
      </c>
      <c r="T141" s="381">
        <f>O143</f>
        <v>881260</v>
      </c>
      <c r="U141" s="381">
        <f>O144</f>
        <v>921530</v>
      </c>
      <c r="V141" s="381">
        <f>O145</f>
        <v>963650</v>
      </c>
      <c r="W141" s="319" t="s">
        <v>306</v>
      </c>
    </row>
    <row r="142" spans="1:23" ht="18.75" customHeight="1" x14ac:dyDescent="0.25">
      <c r="A142" s="383"/>
      <c r="B142" s="377"/>
      <c r="C142" s="64"/>
      <c r="D142" s="379"/>
      <c r="E142" s="384"/>
      <c r="F142" s="61">
        <v>2022</v>
      </c>
      <c r="G142" s="322">
        <v>224</v>
      </c>
      <c r="H142" s="67" t="s">
        <v>78</v>
      </c>
      <c r="I142" s="322">
        <v>3466.51</v>
      </c>
      <c r="J142" s="67" t="s">
        <v>41</v>
      </c>
      <c r="K142" s="322">
        <f>ROUND((G142*I142),2)</f>
        <v>776498.24</v>
      </c>
      <c r="L142" s="67" t="s">
        <v>37</v>
      </c>
      <c r="M142" s="67"/>
      <c r="N142" s="67"/>
      <c r="O142" s="70">
        <f t="shared" ref="O142:O145" si="58">ROUNDUP((M142),-1)</f>
        <v>0</v>
      </c>
      <c r="P142" s="67"/>
      <c r="Q142" s="67"/>
      <c r="R142" s="65"/>
      <c r="S142" s="477"/>
      <c r="T142" s="381"/>
      <c r="U142" s="381"/>
      <c r="V142" s="381"/>
      <c r="W142" s="319"/>
    </row>
    <row r="143" spans="1:23" ht="18.75" customHeight="1" x14ac:dyDescent="0.25">
      <c r="A143" s="383"/>
      <c r="B143" s="377"/>
      <c r="C143" s="64"/>
      <c r="D143" s="379"/>
      <c r="E143" s="384"/>
      <c r="F143" s="68" t="str">
        <f>F14</f>
        <v>норматив на 2024 год :</v>
      </c>
      <c r="G143" s="322">
        <v>224</v>
      </c>
      <c r="H143" s="65" t="s">
        <v>294</v>
      </c>
      <c r="I143" s="277">
        <f>ROUNDUP(I142*1.0822*1.0487,2)</f>
        <v>3934.1600000000003</v>
      </c>
      <c r="J143" s="67" t="s">
        <v>41</v>
      </c>
      <c r="K143" s="322">
        <f>G143*I143</f>
        <v>881251.84000000008</v>
      </c>
      <c r="L143" s="67" t="s">
        <v>41</v>
      </c>
      <c r="M143" s="70">
        <f>ROUNDUP((K143),0)</f>
        <v>881252</v>
      </c>
      <c r="N143" s="71" t="s">
        <v>37</v>
      </c>
      <c r="O143" s="70">
        <f t="shared" si="58"/>
        <v>881260</v>
      </c>
      <c r="P143" s="67" t="s">
        <v>332</v>
      </c>
      <c r="Q143" s="72"/>
      <c r="R143" s="72"/>
      <c r="S143" s="477"/>
      <c r="T143" s="381"/>
      <c r="U143" s="381"/>
      <c r="V143" s="381"/>
      <c r="W143" s="319" t="str">
        <f>""&amp;TEXT(G143,"0,0")&amp;" шт. х "&amp;TEXT(ROUND((K143/G143),2),"0,00")&amp;" руб. = "&amp;TEXT(ROUND((G143*(ROUND((K143/G143),2))),2),"0 000,00")&amp;" руб. = "&amp;TEXT(M143,"0 000,00")&amp;" руб.= "&amp;TEXT(O143,"0 000,00")&amp;" руб."</f>
        <v>224,0 шт. х 3934,16 руб. = 881 251,84 руб. = 881 252,00 руб.= 881 260,00 руб.</v>
      </c>
    </row>
    <row r="144" spans="1:23" ht="18.75" customHeight="1" x14ac:dyDescent="0.25">
      <c r="A144" s="383"/>
      <c r="B144" s="377"/>
      <c r="C144" s="64"/>
      <c r="D144" s="379"/>
      <c r="E144" s="384"/>
      <c r="F144" s="68" t="str">
        <f>F15</f>
        <v>норматив на 2025 год :</v>
      </c>
      <c r="G144" s="322">
        <v>224</v>
      </c>
      <c r="H144" s="67" t="str">
        <f>H143</f>
        <v>шт. х средняя цена с индексом потребительских цен</v>
      </c>
      <c r="I144" s="277">
        <f>ROUNDUP(I143*(1.0457),2)</f>
        <v>4113.96</v>
      </c>
      <c r="J144" s="67" t="s">
        <v>41</v>
      </c>
      <c r="K144" s="322">
        <f t="shared" ref="K144:K145" si="59">G144*I144</f>
        <v>921527.04</v>
      </c>
      <c r="L144" s="67" t="s">
        <v>41</v>
      </c>
      <c r="M144" s="70">
        <f t="shared" ref="M144:M145" si="60">ROUNDUP((K144),0)</f>
        <v>921528</v>
      </c>
      <c r="N144" s="71" t="s">
        <v>37</v>
      </c>
      <c r="O144" s="70">
        <f t="shared" si="58"/>
        <v>921530</v>
      </c>
      <c r="P144" s="67" t="s">
        <v>332</v>
      </c>
      <c r="Q144" s="72"/>
      <c r="R144" s="72"/>
      <c r="S144" s="477"/>
      <c r="T144" s="381"/>
      <c r="U144" s="381"/>
      <c r="V144" s="381"/>
      <c r="W144" s="319" t="str">
        <f t="shared" ref="W144:W145" si="61">""&amp;TEXT(G144,"0,0")&amp;" шт. х "&amp;TEXT(ROUND((K144/G144),2),"0,00")&amp;" руб. = "&amp;TEXT(ROUND((G144*(ROUND((K144/G144),2))),2),"0 000,00")&amp;" руб. = "&amp;TEXT(M144,"0 000,00")&amp;" руб.= "&amp;TEXT(O144,"0 000,00")&amp;" руб."</f>
        <v>224,0 шт. х 4113,96 руб. = 921 527,04 руб. = 921 528,00 руб.= 921 530,00 руб.</v>
      </c>
    </row>
    <row r="145" spans="1:23" ht="24.75" customHeight="1" x14ac:dyDescent="0.25">
      <c r="A145" s="383"/>
      <c r="B145" s="377"/>
      <c r="C145" s="64"/>
      <c r="D145" s="379"/>
      <c r="E145" s="384"/>
      <c r="F145" s="68" t="str">
        <f>F16</f>
        <v>норматив на 2026 год :</v>
      </c>
      <c r="G145" s="322">
        <v>224</v>
      </c>
      <c r="H145" s="67" t="str">
        <f>H143</f>
        <v>шт. х средняя цена с индексом потребительских цен</v>
      </c>
      <c r="I145" s="277">
        <f>ROUNDUP(I144*(1.0457),2)</f>
        <v>4301.97</v>
      </c>
      <c r="J145" s="67" t="s">
        <v>41</v>
      </c>
      <c r="K145" s="322">
        <f t="shared" si="59"/>
        <v>963641.28</v>
      </c>
      <c r="L145" s="67" t="s">
        <v>41</v>
      </c>
      <c r="M145" s="70">
        <f t="shared" si="60"/>
        <v>963642</v>
      </c>
      <c r="N145" s="71" t="s">
        <v>37</v>
      </c>
      <c r="O145" s="70">
        <f t="shared" si="58"/>
        <v>963650</v>
      </c>
      <c r="P145" s="67" t="s">
        <v>332</v>
      </c>
      <c r="Q145" s="72"/>
      <c r="R145" s="72"/>
      <c r="S145" s="478"/>
      <c r="T145" s="382"/>
      <c r="U145" s="382"/>
      <c r="V145" s="382"/>
      <c r="W145" s="319" t="str">
        <f t="shared" si="61"/>
        <v>224,0 шт. х 4301,97 руб. = 963 641,28 руб. = 963 642,00 руб.= 963 650,00 руб.</v>
      </c>
    </row>
    <row r="146" spans="1:23" ht="103.5" customHeight="1" outlineLevel="1" x14ac:dyDescent="0.25">
      <c r="A146" s="383" t="s">
        <v>213</v>
      </c>
      <c r="B146" s="376" t="s">
        <v>307</v>
      </c>
      <c r="C146" s="64"/>
      <c r="D146" s="378">
        <v>341</v>
      </c>
      <c r="E146" s="378">
        <v>244</v>
      </c>
      <c r="F146" s="380" t="s">
        <v>249</v>
      </c>
      <c r="G146" s="380"/>
      <c r="H146" s="380"/>
      <c r="I146" s="380"/>
      <c r="J146" s="380"/>
      <c r="K146" s="380"/>
      <c r="L146" s="380"/>
      <c r="M146" s="380"/>
      <c r="N146" s="380"/>
      <c r="O146" s="380"/>
      <c r="P146" s="380"/>
      <c r="Q146" s="380"/>
      <c r="R146" s="380"/>
      <c r="S146" s="65"/>
      <c r="T146" s="385">
        <f>O148</f>
        <v>51710</v>
      </c>
      <c r="U146" s="385">
        <f>O149</f>
        <v>54070</v>
      </c>
      <c r="V146" s="385">
        <f>O150</f>
        <v>56540</v>
      </c>
      <c r="W146" s="319" t="s">
        <v>308</v>
      </c>
    </row>
    <row r="147" spans="1:23" ht="22.5" customHeight="1" x14ac:dyDescent="0.25">
      <c r="A147" s="383"/>
      <c r="B147" s="377"/>
      <c r="C147" s="64"/>
      <c r="D147" s="379"/>
      <c r="E147" s="384"/>
      <c r="F147" s="61">
        <v>2022</v>
      </c>
      <c r="G147" s="322">
        <v>64</v>
      </c>
      <c r="H147" s="67" t="s">
        <v>78</v>
      </c>
      <c r="I147" s="322">
        <f>ROUNDUP((45557.76/64),2)</f>
        <v>711.84</v>
      </c>
      <c r="J147" s="67" t="s">
        <v>41</v>
      </c>
      <c r="K147" s="322">
        <f>ROUND((G147*I147),2)</f>
        <v>45557.760000000002</v>
      </c>
      <c r="L147" s="67" t="s">
        <v>37</v>
      </c>
      <c r="M147" s="67"/>
      <c r="N147" s="67"/>
      <c r="O147" s="70">
        <f t="shared" ref="O147:O150" si="62">ROUNDUP((M147),-1)</f>
        <v>0</v>
      </c>
      <c r="P147" s="67"/>
      <c r="Q147" s="67"/>
      <c r="R147" s="65"/>
      <c r="S147" s="65"/>
      <c r="T147" s="386"/>
      <c r="U147" s="386"/>
      <c r="V147" s="386"/>
      <c r="W147" s="319"/>
    </row>
    <row r="148" spans="1:23" ht="17.25" customHeight="1" x14ac:dyDescent="0.25">
      <c r="A148" s="383"/>
      <c r="B148" s="377"/>
      <c r="C148" s="64"/>
      <c r="D148" s="379"/>
      <c r="E148" s="384"/>
      <c r="F148" s="68" t="str">
        <f>F14</f>
        <v>норматив на 2024 год :</v>
      </c>
      <c r="G148" s="322">
        <v>64</v>
      </c>
      <c r="H148" s="65" t="s">
        <v>294</v>
      </c>
      <c r="I148" s="277">
        <f>ROUNDUP(I147*(1.0822*1.0487),2)</f>
        <v>807.87</v>
      </c>
      <c r="J148" s="67" t="s">
        <v>41</v>
      </c>
      <c r="K148" s="322">
        <f>G148*I148</f>
        <v>51703.68</v>
      </c>
      <c r="L148" s="67" t="s">
        <v>41</v>
      </c>
      <c r="M148" s="70">
        <f>ROUNDUP((K148),0)</f>
        <v>51704</v>
      </c>
      <c r="N148" s="71" t="s">
        <v>37</v>
      </c>
      <c r="O148" s="70">
        <f t="shared" si="62"/>
        <v>51710</v>
      </c>
      <c r="P148" s="67" t="s">
        <v>332</v>
      </c>
      <c r="Q148" s="72"/>
      <c r="R148" s="72"/>
      <c r="S148" s="65"/>
      <c r="T148" s="386"/>
      <c r="U148" s="386"/>
      <c r="V148" s="386"/>
      <c r="W148" s="319" t="str">
        <f>""&amp;TEXT(G148,"0,0")&amp;" шт. х "&amp;TEXT(ROUND((K148),2),"0,00")&amp;" руб. = "&amp;TEXT(ROUND((M148),2),"0 000,00")&amp;" руб. = "&amp;TEXT(O148,"0 000,00")&amp;" руб."</f>
        <v>64,0 шт. х 51703,68 руб. = 51 704,00 руб. = 51 710,00 руб.</v>
      </c>
    </row>
    <row r="149" spans="1:23" ht="23.25" customHeight="1" x14ac:dyDescent="0.25">
      <c r="A149" s="383"/>
      <c r="B149" s="377"/>
      <c r="C149" s="64"/>
      <c r="D149" s="379"/>
      <c r="E149" s="384"/>
      <c r="F149" s="68" t="str">
        <f>F15</f>
        <v>норматив на 2025 год :</v>
      </c>
      <c r="G149" s="322">
        <v>64</v>
      </c>
      <c r="H149" s="67" t="str">
        <f>H148</f>
        <v>шт. х средняя цена с индексом потребительских цен</v>
      </c>
      <c r="I149" s="277">
        <f>ROUNDUP(I148*(1.0457),2)</f>
        <v>844.79</v>
      </c>
      <c r="J149" s="67" t="s">
        <v>41</v>
      </c>
      <c r="K149" s="322">
        <f t="shared" ref="K149:K150" si="63">G149*I149</f>
        <v>54066.559999999998</v>
      </c>
      <c r="L149" s="67" t="s">
        <v>41</v>
      </c>
      <c r="M149" s="70">
        <f t="shared" ref="M149:M150" si="64">ROUNDUP((K149),0)</f>
        <v>54067</v>
      </c>
      <c r="N149" s="71" t="s">
        <v>37</v>
      </c>
      <c r="O149" s="70">
        <f t="shared" si="62"/>
        <v>54070</v>
      </c>
      <c r="P149" s="67" t="s">
        <v>332</v>
      </c>
      <c r="Q149" s="72"/>
      <c r="R149" s="72"/>
      <c r="S149" s="65"/>
      <c r="T149" s="386"/>
      <c r="U149" s="386"/>
      <c r="V149" s="386"/>
      <c r="W149" s="319" t="str">
        <f t="shared" ref="W149:W150" si="65">""&amp;TEXT(G149,"0,0")&amp;" шт. х "&amp;TEXT(ROUND((K149),2),"0,00")&amp;" руб. = "&amp;TEXT(ROUND((M149),2),"0 000,00")&amp;" руб. = "&amp;TEXT(O149,"0 000,00")&amp;" руб."</f>
        <v>64,0 шт. х 54066,56 руб. = 54 067,00 руб. = 54 070,00 руб.</v>
      </c>
    </row>
    <row r="150" spans="1:23" ht="23.25" customHeight="1" x14ac:dyDescent="0.25">
      <c r="A150" s="383"/>
      <c r="B150" s="377"/>
      <c r="C150" s="64"/>
      <c r="D150" s="379"/>
      <c r="E150" s="384"/>
      <c r="F150" s="68" t="str">
        <f>F16</f>
        <v>норматив на 2026 год :</v>
      </c>
      <c r="G150" s="322">
        <v>64</v>
      </c>
      <c r="H150" s="67" t="str">
        <f>H148</f>
        <v>шт. х средняя цена с индексом потребительских цен</v>
      </c>
      <c r="I150" s="277">
        <f>ROUNDUP(I149*(1.0457),2)</f>
        <v>883.4</v>
      </c>
      <c r="J150" s="67" t="s">
        <v>41</v>
      </c>
      <c r="K150" s="322">
        <f t="shared" si="63"/>
        <v>56537.599999999999</v>
      </c>
      <c r="L150" s="67" t="s">
        <v>41</v>
      </c>
      <c r="M150" s="70">
        <f t="shared" si="64"/>
        <v>56538</v>
      </c>
      <c r="N150" s="71" t="s">
        <v>37</v>
      </c>
      <c r="O150" s="70">
        <f t="shared" si="62"/>
        <v>56540</v>
      </c>
      <c r="P150" s="67" t="s">
        <v>332</v>
      </c>
      <c r="Q150" s="72"/>
      <c r="R150" s="72"/>
      <c r="S150" s="65"/>
      <c r="T150" s="387"/>
      <c r="U150" s="387"/>
      <c r="V150" s="387"/>
      <c r="W150" s="319" t="str">
        <f t="shared" si="65"/>
        <v>64,0 шт. х 56537,60 руб. = 56 538,00 руб. = 56 540,00 руб.</v>
      </c>
    </row>
    <row r="151" spans="1:23" ht="89.25" customHeight="1" x14ac:dyDescent="0.25">
      <c r="A151" s="383" t="s">
        <v>311</v>
      </c>
      <c r="B151" s="376" t="s">
        <v>309</v>
      </c>
      <c r="C151" s="64"/>
      <c r="D151" s="378">
        <v>341</v>
      </c>
      <c r="E151" s="378">
        <v>244</v>
      </c>
      <c r="F151" s="380" t="s">
        <v>249</v>
      </c>
      <c r="G151" s="380"/>
      <c r="H151" s="380"/>
      <c r="I151" s="380"/>
      <c r="J151" s="380"/>
      <c r="K151" s="380"/>
      <c r="L151" s="380"/>
      <c r="M151" s="380"/>
      <c r="N151" s="380"/>
      <c r="O151" s="380"/>
      <c r="P151" s="380"/>
      <c r="Q151" s="380"/>
      <c r="R151" s="380"/>
      <c r="S151" s="65"/>
      <c r="T151" s="408">
        <f>O153</f>
        <v>11540</v>
      </c>
      <c r="U151" s="408">
        <f>O154</f>
        <v>12060</v>
      </c>
      <c r="V151" s="408">
        <f>O155</f>
        <v>12610</v>
      </c>
      <c r="W151" s="319" t="s">
        <v>310</v>
      </c>
    </row>
    <row r="152" spans="1:23" ht="23.25" customHeight="1" x14ac:dyDescent="0.25">
      <c r="A152" s="383"/>
      <c r="B152" s="377"/>
      <c r="C152" s="64"/>
      <c r="D152" s="379"/>
      <c r="E152" s="384"/>
      <c r="F152" s="61">
        <v>2022</v>
      </c>
      <c r="G152" s="322">
        <v>11</v>
      </c>
      <c r="H152" s="67" t="s">
        <v>78</v>
      </c>
      <c r="I152" s="322">
        <v>923.64</v>
      </c>
      <c r="J152" s="67" t="s">
        <v>41</v>
      </c>
      <c r="K152" s="322">
        <f>ROUND((G152*I152),2)</f>
        <v>10160.040000000001</v>
      </c>
      <c r="L152" s="67" t="s">
        <v>37</v>
      </c>
      <c r="M152" s="67"/>
      <c r="N152" s="67"/>
      <c r="O152" s="70">
        <f t="shared" ref="O152:O155" si="66">ROUNDUP((M152),-1)</f>
        <v>0</v>
      </c>
      <c r="P152" s="67"/>
      <c r="Q152" s="67"/>
      <c r="R152" s="65"/>
      <c r="S152" s="65"/>
      <c r="T152" s="409"/>
      <c r="U152" s="409"/>
      <c r="V152" s="409"/>
      <c r="W152" s="319"/>
    </row>
    <row r="153" spans="1:23" ht="23.25" customHeight="1" x14ac:dyDescent="0.25">
      <c r="A153" s="383"/>
      <c r="B153" s="377"/>
      <c r="C153" s="64"/>
      <c r="D153" s="379"/>
      <c r="E153" s="384"/>
      <c r="F153" s="68" t="str">
        <f>F14</f>
        <v>норматив на 2024 год :</v>
      </c>
      <c r="G153" s="322">
        <v>11</v>
      </c>
      <c r="H153" s="65" t="s">
        <v>294</v>
      </c>
      <c r="I153" s="277">
        <f>ROUNDUP(I152*(1.0822*1.0487),2)</f>
        <v>1048.25</v>
      </c>
      <c r="J153" s="67" t="s">
        <v>41</v>
      </c>
      <c r="K153" s="322">
        <f>G153*I153</f>
        <v>11530.75</v>
      </c>
      <c r="L153" s="67" t="s">
        <v>41</v>
      </c>
      <c r="M153" s="70">
        <f>ROUNDUP((K153),0)</f>
        <v>11531</v>
      </c>
      <c r="N153" s="71" t="s">
        <v>37</v>
      </c>
      <c r="O153" s="70">
        <f t="shared" si="66"/>
        <v>11540</v>
      </c>
      <c r="P153" s="67" t="s">
        <v>332</v>
      </c>
      <c r="Q153" s="72"/>
      <c r="R153" s="72"/>
      <c r="S153" s="65"/>
      <c r="T153" s="409"/>
      <c r="U153" s="409"/>
      <c r="V153" s="409"/>
      <c r="W153" s="319" t="str">
        <f>""&amp;TEXT(G153,"0,0")&amp;" шт. х "&amp;TEXT(ROUND((K153/G153),2),"0,00")&amp;" руб. = "&amp;TEXT(ROUND((G153*(ROUND((K153/G153),2))),2),"0 000,00")&amp;" руб. = "&amp;TEXT(M153,"0 000,00")&amp;" руб.= "&amp;TEXT(O153,"0 000,00")&amp;" руб."</f>
        <v>11,0 шт. х 1048,25 руб. = 11 530,75 руб. = 11 531,00 руб.= 11 540,00 руб.</v>
      </c>
    </row>
    <row r="154" spans="1:23" ht="23.25" customHeight="1" x14ac:dyDescent="0.25">
      <c r="A154" s="383"/>
      <c r="B154" s="377"/>
      <c r="C154" s="64"/>
      <c r="D154" s="379"/>
      <c r="E154" s="384"/>
      <c r="F154" s="68" t="str">
        <f>F15</f>
        <v>норматив на 2025 год :</v>
      </c>
      <c r="G154" s="322">
        <v>11</v>
      </c>
      <c r="H154" s="67" t="str">
        <f>H153</f>
        <v>шт. х средняя цена с индексом потребительских цен</v>
      </c>
      <c r="I154" s="277">
        <f>ROUNDUP(I153*(1.0457),2)</f>
        <v>1096.1600000000001</v>
      </c>
      <c r="J154" s="67" t="s">
        <v>41</v>
      </c>
      <c r="K154" s="322">
        <f t="shared" ref="K154:K155" si="67">G154*I154</f>
        <v>12057.76</v>
      </c>
      <c r="L154" s="67" t="s">
        <v>41</v>
      </c>
      <c r="M154" s="70">
        <f t="shared" ref="M154:M155" si="68">ROUNDUP((K154),0)</f>
        <v>12058</v>
      </c>
      <c r="N154" s="71" t="s">
        <v>37</v>
      </c>
      <c r="O154" s="70">
        <f t="shared" si="66"/>
        <v>12060</v>
      </c>
      <c r="P154" s="67" t="s">
        <v>332</v>
      </c>
      <c r="Q154" s="72"/>
      <c r="R154" s="72"/>
      <c r="S154" s="65"/>
      <c r="T154" s="409"/>
      <c r="U154" s="409"/>
      <c r="V154" s="409"/>
      <c r="W154" s="319" t="str">
        <f t="shared" ref="W154:W155" si="69">""&amp;TEXT(G154,"0,0")&amp;" шт. х "&amp;TEXT(ROUND((K154/G154),2),"0,00")&amp;" руб. = "&amp;TEXT(ROUND((G154*(ROUND((K154/G154),2))),2),"0 000,00")&amp;" руб. = "&amp;TEXT(M154,"0 000,00")&amp;" руб.= "&amp;TEXT(O154,"0 000,00")&amp;" руб."</f>
        <v>11,0 шт. х 1096,16 руб. = 12 057,76 руб. = 12 058,00 руб.= 12 060,00 руб.</v>
      </c>
    </row>
    <row r="155" spans="1:23" ht="23.25" customHeight="1" x14ac:dyDescent="0.25">
      <c r="A155" s="383"/>
      <c r="B155" s="377"/>
      <c r="C155" s="64"/>
      <c r="D155" s="379"/>
      <c r="E155" s="384"/>
      <c r="F155" s="68" t="str">
        <f>F16</f>
        <v>норматив на 2026 год :</v>
      </c>
      <c r="G155" s="322">
        <v>11</v>
      </c>
      <c r="H155" s="67" t="str">
        <f>H153</f>
        <v>шт. х средняя цена с индексом потребительских цен</v>
      </c>
      <c r="I155" s="277">
        <f>ROUNDUP(I154*(1.0457),2)</f>
        <v>1146.26</v>
      </c>
      <c r="J155" s="67" t="s">
        <v>41</v>
      </c>
      <c r="K155" s="322">
        <f t="shared" si="67"/>
        <v>12608.86</v>
      </c>
      <c r="L155" s="67" t="s">
        <v>41</v>
      </c>
      <c r="M155" s="70">
        <f t="shared" si="68"/>
        <v>12609</v>
      </c>
      <c r="N155" s="71" t="s">
        <v>37</v>
      </c>
      <c r="O155" s="70">
        <f t="shared" si="66"/>
        <v>12610</v>
      </c>
      <c r="P155" s="67" t="s">
        <v>332</v>
      </c>
      <c r="Q155" s="72"/>
      <c r="R155" s="72"/>
      <c r="S155" s="65"/>
      <c r="T155" s="410"/>
      <c r="U155" s="410"/>
      <c r="V155" s="410"/>
      <c r="W155" s="319" t="str">
        <f t="shared" si="69"/>
        <v>11,0 шт. х 1146,26 руб. = 12 608,86 руб. = 12 609,00 руб.= 12 610,00 руб.</v>
      </c>
    </row>
    <row r="156" spans="1:23" ht="100.5" customHeight="1" x14ac:dyDescent="0.25">
      <c r="A156" s="383" t="s">
        <v>314</v>
      </c>
      <c r="B156" s="376" t="s">
        <v>312</v>
      </c>
      <c r="C156" s="64"/>
      <c r="D156" s="378">
        <v>341</v>
      </c>
      <c r="E156" s="378">
        <v>244</v>
      </c>
      <c r="F156" s="380" t="s">
        <v>249</v>
      </c>
      <c r="G156" s="380"/>
      <c r="H156" s="380"/>
      <c r="I156" s="380"/>
      <c r="J156" s="380"/>
      <c r="K156" s="380"/>
      <c r="L156" s="380"/>
      <c r="M156" s="380"/>
      <c r="N156" s="380"/>
      <c r="O156" s="380"/>
      <c r="P156" s="380"/>
      <c r="Q156" s="380"/>
      <c r="R156" s="380"/>
      <c r="S156" s="65"/>
      <c r="T156" s="408">
        <f>O158</f>
        <v>5880</v>
      </c>
      <c r="U156" s="408">
        <f>O159</f>
        <v>6140</v>
      </c>
      <c r="V156" s="408">
        <f>O160</f>
        <v>6430</v>
      </c>
      <c r="W156" s="319" t="s">
        <v>313</v>
      </c>
    </row>
    <row r="157" spans="1:23" ht="23.25" customHeight="1" x14ac:dyDescent="0.25">
      <c r="A157" s="383"/>
      <c r="B157" s="377"/>
      <c r="C157" s="64"/>
      <c r="D157" s="379"/>
      <c r="E157" s="384"/>
      <c r="F157" s="61">
        <v>2022</v>
      </c>
      <c r="G157" s="322">
        <v>64</v>
      </c>
      <c r="H157" s="67" t="s">
        <v>78</v>
      </c>
      <c r="I157" s="322">
        <v>80.819999999999993</v>
      </c>
      <c r="J157" s="67" t="s">
        <v>41</v>
      </c>
      <c r="K157" s="322"/>
      <c r="L157" s="67"/>
      <c r="M157" s="70"/>
      <c r="N157" s="67"/>
      <c r="O157" s="70"/>
      <c r="P157" s="67"/>
      <c r="Q157" s="67"/>
      <c r="R157" s="65"/>
      <c r="S157" s="65"/>
      <c r="T157" s="409"/>
      <c r="U157" s="409"/>
      <c r="V157" s="409"/>
      <c r="W157" s="319"/>
    </row>
    <row r="158" spans="1:23" ht="23.25" customHeight="1" x14ac:dyDescent="0.25">
      <c r="A158" s="383"/>
      <c r="B158" s="377"/>
      <c r="C158" s="64"/>
      <c r="D158" s="379"/>
      <c r="E158" s="384"/>
      <c r="F158" s="68" t="str">
        <f>F14</f>
        <v>норматив на 2024 год :</v>
      </c>
      <c r="G158" s="322">
        <v>64</v>
      </c>
      <c r="H158" s="65" t="s">
        <v>294</v>
      </c>
      <c r="I158" s="277">
        <f>ROUNDUP(I157*(1.0822*1.0487),2)</f>
        <v>91.73</v>
      </c>
      <c r="J158" s="67" t="s">
        <v>41</v>
      </c>
      <c r="K158" s="322">
        <f>G158*I158</f>
        <v>5870.72</v>
      </c>
      <c r="L158" s="67" t="s">
        <v>41</v>
      </c>
      <c r="M158" s="70">
        <f>ROUNDUP((K158),0)</f>
        <v>5871</v>
      </c>
      <c r="N158" s="71" t="s">
        <v>37</v>
      </c>
      <c r="O158" s="70">
        <f t="shared" ref="O158:O160" si="70">ROUNDUP((M158),-1)</f>
        <v>5880</v>
      </c>
      <c r="P158" s="67" t="s">
        <v>332</v>
      </c>
      <c r="Q158" s="72"/>
      <c r="R158" s="72"/>
      <c r="S158" s="65"/>
      <c r="T158" s="409"/>
      <c r="U158" s="409"/>
      <c r="V158" s="409"/>
      <c r="W158" s="319" t="str">
        <f>""&amp;TEXT(G158,"0,0")&amp;" шт. х "&amp;TEXT(ROUND((K158/G158),2),"0,00")&amp;" руб. = "&amp;TEXT(ROUND((G158*(ROUND((K158/G158),2))),2),"0 000,00")&amp;" руб. = "&amp;TEXT(O158,"0 000,00")&amp;" руб."</f>
        <v>64,0 шт. х 91,73 руб. = 5 870,72 руб. = 5 880,00 руб.</v>
      </c>
    </row>
    <row r="159" spans="1:23" ht="23.25" customHeight="1" x14ac:dyDescent="0.25">
      <c r="A159" s="383"/>
      <c r="B159" s="377"/>
      <c r="C159" s="64"/>
      <c r="D159" s="379"/>
      <c r="E159" s="384"/>
      <c r="F159" s="68" t="str">
        <f>F15</f>
        <v>норматив на 2025 год :</v>
      </c>
      <c r="G159" s="322">
        <v>64</v>
      </c>
      <c r="H159" s="67" t="str">
        <f>H158</f>
        <v>шт. х средняя цена с индексом потребительских цен</v>
      </c>
      <c r="I159" s="277">
        <f>ROUNDUP(I158*(1.0457),2)</f>
        <v>95.93</v>
      </c>
      <c r="J159" s="67" t="s">
        <v>41</v>
      </c>
      <c r="K159" s="322">
        <f t="shared" ref="K159:K160" si="71">G159*I159</f>
        <v>6139.52</v>
      </c>
      <c r="L159" s="67" t="s">
        <v>41</v>
      </c>
      <c r="M159" s="70">
        <f t="shared" ref="M159:M160" si="72">ROUNDUP((K159),0)</f>
        <v>6140</v>
      </c>
      <c r="N159" s="71" t="s">
        <v>37</v>
      </c>
      <c r="O159" s="70">
        <f t="shared" si="70"/>
        <v>6140</v>
      </c>
      <c r="P159" s="67" t="s">
        <v>332</v>
      </c>
      <c r="Q159" s="72"/>
      <c r="R159" s="72"/>
      <c r="S159" s="65"/>
      <c r="T159" s="409"/>
      <c r="U159" s="409"/>
      <c r="V159" s="409"/>
      <c r="W159" s="319" t="str">
        <f t="shared" ref="W159:W160" si="73">""&amp;TEXT(G159,"0,0")&amp;" шт. х "&amp;TEXT(ROUND((K159/G159),2),"0,00")&amp;" руб. = "&amp;TEXT(ROUND((G159*(ROUND((K159/G159),2))),2),"0 000,00")&amp;" руб. = "&amp;TEXT(O159,"0 000,00")&amp;" руб."</f>
        <v>64,0 шт. х 95,93 руб. = 6 139,52 руб. = 6 140,00 руб.</v>
      </c>
    </row>
    <row r="160" spans="1:23" ht="23.25" customHeight="1" x14ac:dyDescent="0.25">
      <c r="A160" s="383"/>
      <c r="B160" s="377"/>
      <c r="C160" s="64"/>
      <c r="D160" s="379"/>
      <c r="E160" s="384"/>
      <c r="F160" s="68" t="str">
        <f>F16</f>
        <v>норматив на 2026 год :</v>
      </c>
      <c r="G160" s="322">
        <v>64</v>
      </c>
      <c r="H160" s="67" t="str">
        <f>H158</f>
        <v>шт. х средняя цена с индексом потребительских цен</v>
      </c>
      <c r="I160" s="277">
        <f>ROUNDUP(I159*(1.0457),2)</f>
        <v>100.32000000000001</v>
      </c>
      <c r="J160" s="67" t="s">
        <v>41</v>
      </c>
      <c r="K160" s="322">
        <f t="shared" si="71"/>
        <v>6420.4800000000005</v>
      </c>
      <c r="L160" s="67" t="s">
        <v>41</v>
      </c>
      <c r="M160" s="70">
        <f t="shared" si="72"/>
        <v>6421</v>
      </c>
      <c r="N160" s="71" t="s">
        <v>37</v>
      </c>
      <c r="O160" s="70">
        <f t="shared" si="70"/>
        <v>6430</v>
      </c>
      <c r="P160" s="67" t="s">
        <v>332</v>
      </c>
      <c r="Q160" s="72"/>
      <c r="R160" s="72"/>
      <c r="S160" s="65"/>
      <c r="T160" s="410"/>
      <c r="U160" s="410"/>
      <c r="V160" s="410"/>
      <c r="W160" s="319" t="str">
        <f t="shared" si="73"/>
        <v>64,0 шт. х 100,32 руб. = 6 420,48 руб. = 6 430,00 руб.</v>
      </c>
    </row>
    <row r="161" spans="1:23" ht="107.25" customHeight="1" x14ac:dyDescent="0.25">
      <c r="A161" s="383" t="s">
        <v>317</v>
      </c>
      <c r="B161" s="376" t="s">
        <v>315</v>
      </c>
      <c r="C161" s="64"/>
      <c r="D161" s="378">
        <v>341</v>
      </c>
      <c r="E161" s="378">
        <v>244</v>
      </c>
      <c r="F161" s="380" t="s">
        <v>249</v>
      </c>
      <c r="G161" s="380"/>
      <c r="H161" s="380"/>
      <c r="I161" s="380"/>
      <c r="J161" s="380"/>
      <c r="K161" s="380"/>
      <c r="L161" s="380"/>
      <c r="M161" s="380"/>
      <c r="N161" s="380"/>
      <c r="O161" s="380"/>
      <c r="P161" s="380"/>
      <c r="Q161" s="380"/>
      <c r="R161" s="380"/>
      <c r="S161" s="65"/>
      <c r="T161" s="408">
        <f>O163</f>
        <v>6370</v>
      </c>
      <c r="U161" s="408">
        <f>O164</f>
        <v>6660</v>
      </c>
      <c r="V161" s="408">
        <f>O165</f>
        <v>6970</v>
      </c>
      <c r="W161" s="319" t="s">
        <v>316</v>
      </c>
    </row>
    <row r="162" spans="1:23" ht="23.25" customHeight="1" x14ac:dyDescent="0.25">
      <c r="A162" s="383"/>
      <c r="B162" s="377"/>
      <c r="C162" s="64"/>
      <c r="D162" s="379"/>
      <c r="E162" s="384"/>
      <c r="F162" s="61">
        <v>2022</v>
      </c>
      <c r="G162" s="322">
        <v>64</v>
      </c>
      <c r="H162" s="67" t="s">
        <v>78</v>
      </c>
      <c r="I162" s="322">
        <v>87.67</v>
      </c>
      <c r="J162" s="67" t="s">
        <v>41</v>
      </c>
      <c r="K162" s="322">
        <f>ROUND((G162*I162),2)</f>
        <v>5610.88</v>
      </c>
      <c r="L162" s="67" t="s">
        <v>37</v>
      </c>
      <c r="M162" s="67"/>
      <c r="N162" s="67"/>
      <c r="O162" s="70">
        <f t="shared" ref="O162:O165" si="74">ROUNDUP((M162),-1)</f>
        <v>0</v>
      </c>
      <c r="P162" s="67"/>
      <c r="Q162" s="67"/>
      <c r="R162" s="65"/>
      <c r="S162" s="65"/>
      <c r="T162" s="409"/>
      <c r="U162" s="409"/>
      <c r="V162" s="409"/>
      <c r="W162" s="319"/>
    </row>
    <row r="163" spans="1:23" ht="23.25" customHeight="1" x14ac:dyDescent="0.25">
      <c r="A163" s="383"/>
      <c r="B163" s="377"/>
      <c r="C163" s="64"/>
      <c r="D163" s="379"/>
      <c r="E163" s="384"/>
      <c r="F163" s="68" t="str">
        <f>F14</f>
        <v>норматив на 2024 год :</v>
      </c>
      <c r="G163" s="322">
        <v>64</v>
      </c>
      <c r="H163" s="65" t="s">
        <v>294</v>
      </c>
      <c r="I163" s="277">
        <f>ROUNDUP(I162*(1.0822*1.0487),2)</f>
        <v>99.5</v>
      </c>
      <c r="J163" s="67" t="s">
        <v>41</v>
      </c>
      <c r="K163" s="322">
        <f>G163*I163</f>
        <v>6368</v>
      </c>
      <c r="L163" s="67" t="s">
        <v>41</v>
      </c>
      <c r="M163" s="70">
        <f>ROUNDUP((K163),0)</f>
        <v>6368</v>
      </c>
      <c r="N163" s="71" t="s">
        <v>37</v>
      </c>
      <c r="O163" s="70">
        <f t="shared" si="74"/>
        <v>6370</v>
      </c>
      <c r="P163" s="67" t="s">
        <v>332</v>
      </c>
      <c r="Q163" s="72"/>
      <c r="R163" s="72"/>
      <c r="S163" s="65"/>
      <c r="T163" s="409"/>
      <c r="U163" s="409"/>
      <c r="V163" s="409"/>
      <c r="W163" s="319" t="str">
        <f>""&amp;TEXT(G163,"0,0")&amp;" шт. х "&amp;TEXT(ROUND((K163/G163),2),"0,00")&amp;" руб. = "&amp;TEXT(ROUND((G163*(ROUND((K163/G163),2))),2),"0 000,00")&amp;" руб. = "&amp;TEXT(O163,"0 000,00")&amp;" руб."</f>
        <v>64,0 шт. х 99,50 руб. = 6 368,00 руб. = 6 370,00 руб.</v>
      </c>
    </row>
    <row r="164" spans="1:23" ht="23.25" customHeight="1" x14ac:dyDescent="0.25">
      <c r="A164" s="383"/>
      <c r="B164" s="377"/>
      <c r="C164" s="64"/>
      <c r="D164" s="379"/>
      <c r="E164" s="384"/>
      <c r="F164" s="68" t="str">
        <f>F15</f>
        <v>норматив на 2025 год :</v>
      </c>
      <c r="G164" s="322">
        <v>64</v>
      </c>
      <c r="H164" s="67" t="str">
        <f>H163</f>
        <v>шт. х средняя цена с индексом потребительских цен</v>
      </c>
      <c r="I164" s="277">
        <f>ROUNDUP(I163*(1.0457),2)</f>
        <v>104.05000000000001</v>
      </c>
      <c r="J164" s="67" t="s">
        <v>41</v>
      </c>
      <c r="K164" s="322">
        <f t="shared" ref="K164:K165" si="75">G164*I164</f>
        <v>6659.2000000000007</v>
      </c>
      <c r="L164" s="67" t="s">
        <v>41</v>
      </c>
      <c r="M164" s="70">
        <f t="shared" ref="M164:M165" si="76">ROUNDUP((K164),0)</f>
        <v>6660</v>
      </c>
      <c r="N164" s="71" t="s">
        <v>37</v>
      </c>
      <c r="O164" s="70">
        <f t="shared" si="74"/>
        <v>6660</v>
      </c>
      <c r="P164" s="67" t="s">
        <v>332</v>
      </c>
      <c r="Q164" s="72"/>
      <c r="R164" s="72"/>
      <c r="S164" s="65"/>
      <c r="T164" s="409"/>
      <c r="U164" s="409"/>
      <c r="V164" s="409"/>
      <c r="W164" s="319" t="str">
        <f t="shared" ref="W164:W165" si="77">""&amp;TEXT(G164,"0,0")&amp;" шт. х "&amp;TEXT(ROUND((K164/G164),2),"0,00")&amp;" руб. = "&amp;TEXT(ROUND((G164*(ROUND((K164/G164),2))),2),"0 000,00")&amp;" руб. = "&amp;TEXT(O164,"0 000,00")&amp;" руб."</f>
        <v>64,0 шт. х 104,05 руб. = 6 659,20 руб. = 6 660,00 руб.</v>
      </c>
    </row>
    <row r="165" spans="1:23" ht="23.25" customHeight="1" x14ac:dyDescent="0.25">
      <c r="A165" s="383"/>
      <c r="B165" s="377"/>
      <c r="C165" s="64"/>
      <c r="D165" s="379"/>
      <c r="E165" s="384"/>
      <c r="F165" s="68" t="str">
        <f>F16</f>
        <v>норматив на 2026 год :</v>
      </c>
      <c r="G165" s="322">
        <v>64</v>
      </c>
      <c r="H165" s="67" t="str">
        <f>H163</f>
        <v>шт. х средняя цена с индексом потребительских цен</v>
      </c>
      <c r="I165" s="277">
        <f>ROUNDUP(I164*(1.0457),2)</f>
        <v>108.81</v>
      </c>
      <c r="J165" s="67" t="s">
        <v>41</v>
      </c>
      <c r="K165" s="322">
        <f t="shared" si="75"/>
        <v>6963.84</v>
      </c>
      <c r="L165" s="67" t="s">
        <v>41</v>
      </c>
      <c r="M165" s="70">
        <f t="shared" si="76"/>
        <v>6964</v>
      </c>
      <c r="N165" s="71" t="s">
        <v>37</v>
      </c>
      <c r="O165" s="70">
        <f t="shared" si="74"/>
        <v>6970</v>
      </c>
      <c r="P165" s="67" t="s">
        <v>332</v>
      </c>
      <c r="Q165" s="72"/>
      <c r="R165" s="72"/>
      <c r="S165" s="65"/>
      <c r="T165" s="410"/>
      <c r="U165" s="410"/>
      <c r="V165" s="410"/>
      <c r="W165" s="319" t="str">
        <f t="shared" si="77"/>
        <v>64,0 шт. х 108,81 руб. = 6 963,84 руб. = 6 970,00 руб.</v>
      </c>
    </row>
    <row r="166" spans="1:23" ht="111" customHeight="1" x14ac:dyDescent="0.25">
      <c r="A166" s="383" t="s">
        <v>320</v>
      </c>
      <c r="B166" s="376" t="s">
        <v>318</v>
      </c>
      <c r="C166" s="64"/>
      <c r="D166" s="378">
        <v>346</v>
      </c>
      <c r="E166" s="378">
        <v>244</v>
      </c>
      <c r="F166" s="380" t="s">
        <v>249</v>
      </c>
      <c r="G166" s="380"/>
      <c r="H166" s="380"/>
      <c r="I166" s="380"/>
      <c r="J166" s="380"/>
      <c r="K166" s="380"/>
      <c r="L166" s="380"/>
      <c r="M166" s="380"/>
      <c r="N166" s="380"/>
      <c r="O166" s="380"/>
      <c r="P166" s="380"/>
      <c r="Q166" s="380"/>
      <c r="R166" s="380"/>
      <c r="S166" s="65"/>
      <c r="T166" s="408">
        <f>O168</f>
        <v>16300</v>
      </c>
      <c r="U166" s="408">
        <f>O169</f>
        <v>17050</v>
      </c>
      <c r="V166" s="408">
        <f>O170</f>
        <v>17820</v>
      </c>
      <c r="W166" s="319" t="s">
        <v>319</v>
      </c>
    </row>
    <row r="167" spans="1:23" ht="23.25" customHeight="1" x14ac:dyDescent="0.25">
      <c r="A167" s="383"/>
      <c r="B167" s="377"/>
      <c r="C167" s="64"/>
      <c r="D167" s="379"/>
      <c r="E167" s="384"/>
      <c r="F167" s="61">
        <v>2022</v>
      </c>
      <c r="G167" s="322">
        <v>20</v>
      </c>
      <c r="H167" s="67" t="s">
        <v>78</v>
      </c>
      <c r="I167" s="322">
        <f>ROUNDUP((14358.6/20),2)</f>
        <v>717.93</v>
      </c>
      <c r="J167" s="67" t="s">
        <v>41</v>
      </c>
      <c r="K167" s="322">
        <f>ROUND((G167*I167),2)</f>
        <v>14358.6</v>
      </c>
      <c r="L167" s="67" t="s">
        <v>37</v>
      </c>
      <c r="M167" s="67"/>
      <c r="N167" s="67"/>
      <c r="O167" s="70">
        <f t="shared" ref="O167:O170" si="78">ROUNDUP((M167),-1)</f>
        <v>0</v>
      </c>
      <c r="P167" s="67"/>
      <c r="Q167" s="67"/>
      <c r="R167" s="65"/>
      <c r="S167" s="65"/>
      <c r="T167" s="409"/>
      <c r="U167" s="409"/>
      <c r="V167" s="409"/>
      <c r="W167" s="319"/>
    </row>
    <row r="168" spans="1:23" ht="23.25" customHeight="1" x14ac:dyDescent="0.25">
      <c r="A168" s="383"/>
      <c r="B168" s="377"/>
      <c r="C168" s="64"/>
      <c r="D168" s="379"/>
      <c r="E168" s="384"/>
      <c r="F168" s="68" t="str">
        <f>F14</f>
        <v>норматив на 2024 год :</v>
      </c>
      <c r="G168" s="322">
        <v>20</v>
      </c>
      <c r="H168" s="65" t="s">
        <v>294</v>
      </c>
      <c r="I168" s="277">
        <f>ROUNDUP(I167*(1.0822*1.0487),2)</f>
        <v>814.79</v>
      </c>
      <c r="J168" s="67" t="s">
        <v>41</v>
      </c>
      <c r="K168" s="322">
        <f>G168*I168</f>
        <v>16295.8</v>
      </c>
      <c r="L168" s="67" t="s">
        <v>41</v>
      </c>
      <c r="M168" s="70">
        <f>ROUNDUP((K168),0)</f>
        <v>16296</v>
      </c>
      <c r="N168" s="71" t="s">
        <v>37</v>
      </c>
      <c r="O168" s="70">
        <f t="shared" si="78"/>
        <v>16300</v>
      </c>
      <c r="P168" s="67" t="s">
        <v>332</v>
      </c>
      <c r="Q168" s="72"/>
      <c r="R168" s="72"/>
      <c r="S168" s="65"/>
      <c r="T168" s="409"/>
      <c r="U168" s="409"/>
      <c r="V168" s="409"/>
      <c r="W168" s="319" t="str">
        <f>""&amp;TEXT(G168,"0,0")&amp;" шт. х "&amp;TEXT(ROUND((K168/G168),2),"0,00")&amp;" руб. = "&amp;TEXT(ROUND((G168*(ROUND((K168/G168),2))),2),"0 000,00")&amp;" руб. = "&amp;TEXT(O168,"0 000,00")&amp;" руб."</f>
        <v>20,0 шт. х 814,79 руб. = 16 295,80 руб. = 16 300,00 руб.</v>
      </c>
    </row>
    <row r="169" spans="1:23" ht="23.25" customHeight="1" x14ac:dyDescent="0.25">
      <c r="A169" s="383"/>
      <c r="B169" s="377"/>
      <c r="C169" s="64"/>
      <c r="D169" s="379"/>
      <c r="E169" s="384"/>
      <c r="F169" s="68" t="str">
        <f>F15</f>
        <v>норматив на 2025 год :</v>
      </c>
      <c r="G169" s="322">
        <v>20</v>
      </c>
      <c r="H169" s="67" t="str">
        <f>H168</f>
        <v>шт. х средняя цена с индексом потребительских цен</v>
      </c>
      <c r="I169" s="277">
        <f>ROUNDUP(I168*(1.0457),2)</f>
        <v>852.03</v>
      </c>
      <c r="J169" s="67" t="s">
        <v>41</v>
      </c>
      <c r="K169" s="322">
        <f t="shared" ref="K169:K170" si="79">G169*I169</f>
        <v>17040.599999999999</v>
      </c>
      <c r="L169" s="67" t="s">
        <v>41</v>
      </c>
      <c r="M169" s="70">
        <f t="shared" ref="M169:M170" si="80">ROUNDUP((K169),0)</f>
        <v>17041</v>
      </c>
      <c r="N169" s="71" t="s">
        <v>37</v>
      </c>
      <c r="O169" s="70">
        <f t="shared" si="78"/>
        <v>17050</v>
      </c>
      <c r="P169" s="67" t="s">
        <v>332</v>
      </c>
      <c r="Q169" s="72"/>
      <c r="R169" s="72"/>
      <c r="S169" s="65"/>
      <c r="T169" s="409"/>
      <c r="U169" s="409"/>
      <c r="V169" s="409"/>
      <c r="W169" s="319" t="str">
        <f t="shared" ref="W169:W170" si="81">""&amp;TEXT(G169,"0,0")&amp;" шт. х "&amp;TEXT(ROUND((K169/G169),2),"0,00")&amp;" руб. = "&amp;TEXT(ROUND((G169*(ROUND((K169/G169),2))),2),"0 000,00")&amp;" руб. = "&amp;TEXT(O169,"0 000,00")&amp;" руб."</f>
        <v>20,0 шт. х 852,03 руб. = 17 040,60 руб. = 17 050,00 руб.</v>
      </c>
    </row>
    <row r="170" spans="1:23" ht="23.25" customHeight="1" x14ac:dyDescent="0.25">
      <c r="A170" s="383"/>
      <c r="B170" s="377"/>
      <c r="C170" s="64"/>
      <c r="D170" s="379"/>
      <c r="E170" s="384"/>
      <c r="F170" s="68" t="str">
        <f>F16</f>
        <v>норматив на 2026 год :</v>
      </c>
      <c r="G170" s="322">
        <v>20</v>
      </c>
      <c r="H170" s="67" t="str">
        <f>H168</f>
        <v>шт. х средняя цена с индексом потребительских цен</v>
      </c>
      <c r="I170" s="277">
        <f>ROUNDUP(I169*(1.0457),2)</f>
        <v>890.97</v>
      </c>
      <c r="J170" s="67" t="s">
        <v>41</v>
      </c>
      <c r="K170" s="322">
        <f t="shared" si="79"/>
        <v>17819.400000000001</v>
      </c>
      <c r="L170" s="67" t="s">
        <v>41</v>
      </c>
      <c r="M170" s="70">
        <f t="shared" si="80"/>
        <v>17820</v>
      </c>
      <c r="N170" s="71" t="s">
        <v>37</v>
      </c>
      <c r="O170" s="70">
        <f t="shared" si="78"/>
        <v>17820</v>
      </c>
      <c r="P170" s="67" t="s">
        <v>332</v>
      </c>
      <c r="Q170" s="72"/>
      <c r="R170" s="72"/>
      <c r="S170" s="65"/>
      <c r="T170" s="410"/>
      <c r="U170" s="410"/>
      <c r="V170" s="410"/>
      <c r="W170" s="319" t="str">
        <f t="shared" si="81"/>
        <v>20,0 шт. х 890,97 руб. = 17 819,40 руб. = 17 820,00 руб.</v>
      </c>
    </row>
    <row r="171" spans="1:23" ht="90" x14ac:dyDescent="0.25">
      <c r="A171" s="383" t="s">
        <v>354</v>
      </c>
      <c r="B171" s="376" t="s">
        <v>214</v>
      </c>
      <c r="C171" s="64"/>
      <c r="D171" s="378">
        <v>346</v>
      </c>
      <c r="E171" s="378">
        <v>244</v>
      </c>
      <c r="F171" s="380" t="s">
        <v>249</v>
      </c>
      <c r="G171" s="380"/>
      <c r="H171" s="380"/>
      <c r="I171" s="380"/>
      <c r="J171" s="380"/>
      <c r="K171" s="380"/>
      <c r="L171" s="380"/>
      <c r="M171" s="380"/>
      <c r="N171" s="380"/>
      <c r="O171" s="380"/>
      <c r="P171" s="380"/>
      <c r="Q171" s="380"/>
      <c r="R171" s="380"/>
      <c r="S171" s="65"/>
      <c r="T171" s="381">
        <f>M173</f>
        <v>689580</v>
      </c>
      <c r="U171" s="381">
        <f>M174</f>
        <v>721170</v>
      </c>
      <c r="V171" s="381">
        <f>M175</f>
        <v>754245</v>
      </c>
      <c r="W171" s="319" t="s">
        <v>215</v>
      </c>
    </row>
    <row r="172" spans="1:23" ht="20.25" customHeight="1" outlineLevel="1" x14ac:dyDescent="0.25">
      <c r="A172" s="383"/>
      <c r="B172" s="377"/>
      <c r="C172" s="64"/>
      <c r="D172" s="379"/>
      <c r="E172" s="384"/>
      <c r="F172" s="61">
        <v>2022</v>
      </c>
      <c r="G172" s="322"/>
      <c r="H172" s="67" t="s">
        <v>335</v>
      </c>
      <c r="I172" s="322">
        <v>45</v>
      </c>
      <c r="J172" s="67" t="s">
        <v>41</v>
      </c>
      <c r="K172" s="322">
        <f>ROUND((G172*I172),2)</f>
        <v>0</v>
      </c>
      <c r="L172" s="67" t="s">
        <v>37</v>
      </c>
      <c r="M172" s="67"/>
      <c r="N172" s="67"/>
      <c r="O172" s="70">
        <f t="shared" ref="O172:O175" si="82">ROUNDUP((M172),-1)</f>
        <v>0</v>
      </c>
      <c r="P172" s="67"/>
      <c r="Q172" s="67"/>
      <c r="R172" s="65"/>
      <c r="S172" s="65"/>
      <c r="T172" s="381"/>
      <c r="U172" s="381"/>
      <c r="V172" s="381"/>
      <c r="W172" s="319"/>
    </row>
    <row r="173" spans="1:23" ht="24.75" customHeight="1" x14ac:dyDescent="0.25">
      <c r="A173" s="383"/>
      <c r="B173" s="377"/>
      <c r="C173" s="64"/>
      <c r="D173" s="379"/>
      <c r="E173" s="384"/>
      <c r="F173" s="68" t="s">
        <v>193</v>
      </c>
      <c r="G173" s="322">
        <v>13500</v>
      </c>
      <c r="H173" s="243" t="s">
        <v>294</v>
      </c>
      <c r="I173" s="277">
        <f>ROUNDUP(I172*(1.0822*1.0487),2)</f>
        <v>51.08</v>
      </c>
      <c r="J173" s="67" t="s">
        <v>41</v>
      </c>
      <c r="K173" s="322">
        <f>ROUND((G173*I173),2)</f>
        <v>689580</v>
      </c>
      <c r="L173" s="67" t="s">
        <v>41</v>
      </c>
      <c r="M173" s="70">
        <f>ROUNDUP((K173),0)</f>
        <v>689580</v>
      </c>
      <c r="N173" s="71" t="s">
        <v>37</v>
      </c>
      <c r="O173" s="70">
        <f t="shared" si="82"/>
        <v>689580</v>
      </c>
      <c r="P173" s="67" t="s">
        <v>332</v>
      </c>
      <c r="Q173" s="72"/>
      <c r="R173" s="72"/>
      <c r="S173" s="65"/>
      <c r="T173" s="381"/>
      <c r="U173" s="381"/>
      <c r="V173" s="381"/>
      <c r="W173" s="319" t="str">
        <f>""&amp;TEXT(G173,"0,0")&amp;" шт. х "&amp;TEXT(ROUND((I173),2),"0,00")&amp;" руб. = "&amp;TEXT(ROUND((K173),2),"0 000,00")&amp;" руб. = "&amp;TEXT(M173,"0 000,00")&amp;" руб."</f>
        <v>13500,0 шт. х 51,08 руб. = 689 580,00 руб. = 689 580,00 руб.</v>
      </c>
    </row>
    <row r="174" spans="1:23" ht="24.75" customHeight="1" x14ac:dyDescent="0.25">
      <c r="A174" s="383"/>
      <c r="B174" s="377"/>
      <c r="C174" s="64"/>
      <c r="D174" s="379"/>
      <c r="E174" s="384"/>
      <c r="F174" s="68" t="s">
        <v>226</v>
      </c>
      <c r="G174" s="322">
        <f>G173</f>
        <v>13500</v>
      </c>
      <c r="H174" s="243" t="s">
        <v>294</v>
      </c>
      <c r="I174" s="277">
        <f>ROUNDUP(I173*(1.0457),2)</f>
        <v>53.419999999999995</v>
      </c>
      <c r="J174" s="67" t="s">
        <v>41</v>
      </c>
      <c r="K174" s="322">
        <f t="shared" ref="K174:K175" si="83">ROUND((G174*I174),2)</f>
        <v>721170</v>
      </c>
      <c r="L174" s="67" t="s">
        <v>41</v>
      </c>
      <c r="M174" s="70">
        <f t="shared" ref="M174:M175" si="84">ROUNDUP((K174),0)</f>
        <v>721170</v>
      </c>
      <c r="N174" s="71" t="s">
        <v>37</v>
      </c>
      <c r="O174" s="70">
        <f t="shared" si="82"/>
        <v>721170</v>
      </c>
      <c r="P174" s="67" t="s">
        <v>332</v>
      </c>
      <c r="Q174" s="72"/>
      <c r="R174" s="72"/>
      <c r="S174" s="65"/>
      <c r="T174" s="381"/>
      <c r="U174" s="381"/>
      <c r="V174" s="381"/>
      <c r="W174" s="319" t="str">
        <f t="shared" ref="W174:W175" si="85">""&amp;TEXT(G174,"0,0")&amp;" шт. х "&amp;TEXT(ROUND((I174),2),"0,00")&amp;" руб. = "&amp;TEXT(ROUND((K174),2),"0 000,00")&amp;" руб. = "&amp;TEXT(M174,"0 000,00")&amp;" руб."</f>
        <v>13500,0 шт. х 53,42 руб. = 721 170,00 руб. = 721 170,00 руб.</v>
      </c>
    </row>
    <row r="175" spans="1:23" ht="24.75" customHeight="1" x14ac:dyDescent="0.25">
      <c r="A175" s="383"/>
      <c r="B175" s="377"/>
      <c r="C175" s="64"/>
      <c r="D175" s="379"/>
      <c r="E175" s="384"/>
      <c r="F175" s="68" t="s">
        <v>240</v>
      </c>
      <c r="G175" s="322">
        <f>G174</f>
        <v>13500</v>
      </c>
      <c r="H175" s="243" t="s">
        <v>294</v>
      </c>
      <c r="I175" s="277">
        <f>ROUNDUP(I174*(1.0457),2)</f>
        <v>55.87</v>
      </c>
      <c r="J175" s="67" t="s">
        <v>41</v>
      </c>
      <c r="K175" s="322">
        <f t="shared" si="83"/>
        <v>754245</v>
      </c>
      <c r="L175" s="67" t="s">
        <v>41</v>
      </c>
      <c r="M175" s="70">
        <f t="shared" si="84"/>
        <v>754245</v>
      </c>
      <c r="N175" s="71" t="s">
        <v>37</v>
      </c>
      <c r="O175" s="70">
        <f t="shared" si="82"/>
        <v>754250</v>
      </c>
      <c r="P175" s="67" t="s">
        <v>332</v>
      </c>
      <c r="Q175" s="70"/>
      <c r="R175" s="71"/>
      <c r="S175" s="65"/>
      <c r="T175" s="382"/>
      <c r="U175" s="382"/>
      <c r="V175" s="382"/>
      <c r="W175" s="319" t="str">
        <f t="shared" si="85"/>
        <v>13500,0 шт. х 55,87 руб. = 754 245,00 руб. = 754 245,00 руб.</v>
      </c>
    </row>
    <row r="176" spans="1:23" ht="90" x14ac:dyDescent="0.25">
      <c r="A176" s="383" t="s">
        <v>355</v>
      </c>
      <c r="B176" s="376" t="s">
        <v>219</v>
      </c>
      <c r="C176" s="64"/>
      <c r="D176" s="378">
        <v>346</v>
      </c>
      <c r="E176" s="378">
        <v>244</v>
      </c>
      <c r="F176" s="380" t="s">
        <v>358</v>
      </c>
      <c r="G176" s="380"/>
      <c r="H176" s="380"/>
      <c r="I176" s="380"/>
      <c r="J176" s="380"/>
      <c r="K176" s="380"/>
      <c r="L176" s="380"/>
      <c r="M176" s="380"/>
      <c r="N176" s="380"/>
      <c r="O176" s="380"/>
      <c r="P176" s="380"/>
      <c r="Q176" s="380"/>
      <c r="R176" s="380"/>
      <c r="S176" s="65"/>
      <c r="T176" s="381">
        <f>M178</f>
        <v>37544</v>
      </c>
      <c r="U176" s="381">
        <f>M179</f>
        <v>39260</v>
      </c>
      <c r="V176" s="381">
        <f>M180</f>
        <v>41054</v>
      </c>
      <c r="W176" s="327" t="s">
        <v>359</v>
      </c>
    </row>
    <row r="177" spans="1:23" ht="20.25" customHeight="1" outlineLevel="1" x14ac:dyDescent="0.25">
      <c r="A177" s="383"/>
      <c r="B177" s="377"/>
      <c r="C177" s="64"/>
      <c r="D177" s="379"/>
      <c r="E177" s="384"/>
      <c r="F177" s="61"/>
      <c r="G177" s="328"/>
      <c r="H177" s="67" t="s">
        <v>335</v>
      </c>
      <c r="I177" s="328"/>
      <c r="J177" s="67" t="s">
        <v>41</v>
      </c>
      <c r="K177" s="328">
        <f>ROUND((G177*I177),2)</f>
        <v>0</v>
      </c>
      <c r="L177" s="67" t="s">
        <v>37</v>
      </c>
      <c r="M177" s="67"/>
      <c r="N177" s="67"/>
      <c r="O177" s="70">
        <f t="shared" ref="O177:O180" si="86">ROUNDUP((M177),-1)</f>
        <v>0</v>
      </c>
      <c r="P177" s="67"/>
      <c r="Q177" s="67"/>
      <c r="R177" s="65"/>
      <c r="S177" s="65"/>
      <c r="T177" s="381"/>
      <c r="U177" s="381"/>
      <c r="V177" s="381"/>
      <c r="W177" s="327"/>
    </row>
    <row r="178" spans="1:23" ht="24.75" customHeight="1" x14ac:dyDescent="0.25">
      <c r="A178" s="383"/>
      <c r="B178" s="377"/>
      <c r="C178" s="64"/>
      <c r="D178" s="379"/>
      <c r="E178" s="384"/>
      <c r="F178" s="68" t="str">
        <f>F14</f>
        <v>норматив на 2024 год :</v>
      </c>
      <c r="G178" s="328">
        <v>4</v>
      </c>
      <c r="H178" s="243" t="s">
        <v>294</v>
      </c>
      <c r="I178" s="277">
        <f>8950*1.0487</f>
        <v>9385.8649999999998</v>
      </c>
      <c r="J178" s="67" t="s">
        <v>41</v>
      </c>
      <c r="K178" s="328">
        <f>ROUND((G178*I178),2)</f>
        <v>37543.46</v>
      </c>
      <c r="L178" s="67" t="s">
        <v>41</v>
      </c>
      <c r="M178" s="70">
        <f>ROUNDUP((K178),0)</f>
        <v>37544</v>
      </c>
      <c r="N178" s="71" t="s">
        <v>37</v>
      </c>
      <c r="O178" s="70">
        <f t="shared" si="86"/>
        <v>37550</v>
      </c>
      <c r="P178" s="67" t="s">
        <v>332</v>
      </c>
      <c r="Q178" s="72"/>
      <c r="R178" s="72"/>
      <c r="S178" s="65"/>
      <c r="T178" s="381"/>
      <c r="U178" s="381"/>
      <c r="V178" s="381"/>
      <c r="W178" s="327" t="str">
        <f>""&amp;TEXT(G178,"0,0")&amp;" шт. х "&amp;TEXT(ROUND((I178),2),"0,00")&amp;" руб. = "&amp;TEXT(ROUND((K178),2),"0 000,00")&amp;" руб. = "&amp;TEXT(M178,"0 000,00")&amp;" руб."</f>
        <v>4,0 шт. х 9385,87 руб. = 37 543,46 руб. = 37 544,00 руб.</v>
      </c>
    </row>
    <row r="179" spans="1:23" ht="24.75" customHeight="1" x14ac:dyDescent="0.25">
      <c r="A179" s="383"/>
      <c r="B179" s="377"/>
      <c r="C179" s="64"/>
      <c r="D179" s="379"/>
      <c r="E179" s="384"/>
      <c r="F179" s="68" t="str">
        <f>F15</f>
        <v>норматив на 2025 год :</v>
      </c>
      <c r="G179" s="328">
        <f>G178</f>
        <v>4</v>
      </c>
      <c r="H179" s="243" t="s">
        <v>294</v>
      </c>
      <c r="I179" s="277">
        <f>ROUNDUP(I178*(1.0457),2)</f>
        <v>9814.8000000000011</v>
      </c>
      <c r="J179" s="67" t="s">
        <v>41</v>
      </c>
      <c r="K179" s="328">
        <f t="shared" ref="K179:K180" si="87">ROUND((G179*I179),2)</f>
        <v>39259.199999999997</v>
      </c>
      <c r="L179" s="67" t="s">
        <v>41</v>
      </c>
      <c r="M179" s="70">
        <f t="shared" ref="M179:M180" si="88">ROUNDUP((K179),0)</f>
        <v>39260</v>
      </c>
      <c r="N179" s="71" t="s">
        <v>37</v>
      </c>
      <c r="O179" s="70">
        <f t="shared" si="86"/>
        <v>39260</v>
      </c>
      <c r="P179" s="67" t="s">
        <v>332</v>
      </c>
      <c r="Q179" s="72"/>
      <c r="R179" s="72"/>
      <c r="S179" s="65"/>
      <c r="T179" s="381"/>
      <c r="U179" s="381"/>
      <c r="V179" s="381"/>
      <c r="W179" s="327" t="str">
        <f t="shared" ref="W179:W180" si="89">""&amp;TEXT(G179,"0,0")&amp;" шт. х "&amp;TEXT(ROUND((I179),2),"0,00")&amp;" руб. = "&amp;TEXT(ROUND((K179),2),"0 000,00")&amp;" руб. = "&amp;TEXT(M179,"0 000,00")&amp;" руб."</f>
        <v>4,0 шт. х 9814,80 руб. = 39 259,20 руб. = 39 260,00 руб.</v>
      </c>
    </row>
    <row r="180" spans="1:23" ht="24.75" customHeight="1" x14ac:dyDescent="0.25">
      <c r="A180" s="383"/>
      <c r="B180" s="377"/>
      <c r="C180" s="64"/>
      <c r="D180" s="379"/>
      <c r="E180" s="384"/>
      <c r="F180" s="68" t="str">
        <f>F16</f>
        <v>норматив на 2026 год :</v>
      </c>
      <c r="G180" s="328">
        <f>G179</f>
        <v>4</v>
      </c>
      <c r="H180" s="243" t="s">
        <v>294</v>
      </c>
      <c r="I180" s="277">
        <f>ROUNDUP(I179*(1.0457),2)</f>
        <v>10263.34</v>
      </c>
      <c r="J180" s="67" t="s">
        <v>41</v>
      </c>
      <c r="K180" s="328">
        <f t="shared" si="87"/>
        <v>41053.360000000001</v>
      </c>
      <c r="L180" s="67" t="s">
        <v>41</v>
      </c>
      <c r="M180" s="70">
        <f t="shared" si="88"/>
        <v>41054</v>
      </c>
      <c r="N180" s="71" t="s">
        <v>37</v>
      </c>
      <c r="O180" s="70">
        <f t="shared" si="86"/>
        <v>41060</v>
      </c>
      <c r="P180" s="67" t="s">
        <v>332</v>
      </c>
      <c r="Q180" s="70"/>
      <c r="R180" s="71"/>
      <c r="S180" s="65"/>
      <c r="T180" s="382"/>
      <c r="U180" s="382"/>
      <c r="V180" s="382"/>
      <c r="W180" s="327" t="str">
        <f t="shared" si="89"/>
        <v>4,0 шт. х 10263,34 руб. = 41 053,36 руб. = 41 054,00 руб.</v>
      </c>
    </row>
    <row r="181" spans="1:23" s="303" customFormat="1" ht="99.75" customHeight="1" x14ac:dyDescent="0.25">
      <c r="A181" s="288" t="s">
        <v>19</v>
      </c>
      <c r="B181" s="318" t="s">
        <v>93</v>
      </c>
      <c r="C181" s="301"/>
      <c r="D181" s="302" t="s">
        <v>35</v>
      </c>
      <c r="E181" s="302" t="s">
        <v>35</v>
      </c>
      <c r="F181" s="479"/>
      <c r="G181" s="480"/>
      <c r="H181" s="480"/>
      <c r="I181" s="480"/>
      <c r="J181" s="480"/>
      <c r="K181" s="480"/>
      <c r="L181" s="480"/>
      <c r="M181" s="480"/>
      <c r="N181" s="480"/>
      <c r="O181" s="480"/>
      <c r="P181" s="480"/>
      <c r="Q181" s="480"/>
      <c r="R181" s="480"/>
      <c r="S181" s="480"/>
      <c r="T181" s="290">
        <f>T182+T187+T192+T197+T202+T207+T212</f>
        <v>4220350</v>
      </c>
      <c r="U181" s="290">
        <f t="shared" ref="U181:V181" si="90">U182+U187+U192+U197+U202+U207+U212</f>
        <v>4413220</v>
      </c>
      <c r="V181" s="290">
        <f t="shared" si="90"/>
        <v>4614900</v>
      </c>
      <c r="W181" s="287" t="str">
        <f>"Нормативные "&amp;TEXT(B181,"0")&amp;" включают в себя:
нормативные "&amp;TEXT(B182,"0")&amp;";
нормативные "&amp;TEXT(B187,"0")&amp;";
нормативные "&amp;TEXT(B192,"0")&amp;"; нормативные "&amp;TEXT(B197,"0")&amp;"; нормативные "&amp;TEXT(B202,"0")&amp;"; нормативные "&amp;TEXT(B207,"0")&amp;"; нормативные "&amp;TEXT(B212,"0")&amp;""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
нормативные затраты на оказание услуг по обучению персонала;
нормативные затраты на оказание нотариальных услуг; нормативные затраты на оказание архивных услуг по переплету документов; нормативные затраты на оказание услуг по составлению архивной описи; нормативные затраты на оказание услуг по проведению специальной оценки условий труда; нормативные затраты на оказание услуг по проведению  оценки профессиональных рисков</v>
      </c>
    </row>
    <row r="182" spans="1:23" ht="102" customHeight="1" x14ac:dyDescent="0.25">
      <c r="A182" s="383" t="s">
        <v>20</v>
      </c>
      <c r="B182" s="376" t="s">
        <v>189</v>
      </c>
      <c r="C182" s="64"/>
      <c r="D182" s="378">
        <v>226</v>
      </c>
      <c r="E182" s="378">
        <v>244</v>
      </c>
      <c r="F182" s="380" t="s">
        <v>249</v>
      </c>
      <c r="G182" s="380"/>
      <c r="H182" s="380"/>
      <c r="I182" s="380"/>
      <c r="J182" s="380"/>
      <c r="K182" s="380"/>
      <c r="L182" s="380"/>
      <c r="M182" s="380"/>
      <c r="N182" s="380"/>
      <c r="O182" s="380"/>
      <c r="P182" s="380"/>
      <c r="Q182" s="380"/>
      <c r="R182" s="380"/>
      <c r="S182" s="65"/>
      <c r="T182" s="381">
        <f>O184</f>
        <v>240150</v>
      </c>
      <c r="U182" s="381">
        <f>O185</f>
        <v>251130</v>
      </c>
      <c r="V182" s="381">
        <f>O186</f>
        <v>262600</v>
      </c>
      <c r="W182" s="319" t="s">
        <v>210</v>
      </c>
    </row>
    <row r="183" spans="1:23" ht="18" customHeight="1" outlineLevel="1" x14ac:dyDescent="0.25">
      <c r="A183" s="437"/>
      <c r="B183" s="377"/>
      <c r="C183" s="64"/>
      <c r="D183" s="379"/>
      <c r="E183" s="384"/>
      <c r="F183" s="61">
        <v>2022</v>
      </c>
      <c r="G183" s="322">
        <v>46</v>
      </c>
      <c r="H183" s="67" t="s">
        <v>60</v>
      </c>
      <c r="I183" s="322">
        <v>4600</v>
      </c>
      <c r="J183" s="67" t="s">
        <v>41</v>
      </c>
      <c r="K183" s="322">
        <f>ROUND((G183*I183),2)</f>
        <v>211600</v>
      </c>
      <c r="L183" s="67" t="s">
        <v>37</v>
      </c>
      <c r="M183" s="67"/>
      <c r="N183" s="67"/>
      <c r="O183" s="70">
        <f t="shared" ref="O183:O186" si="91">ROUNDUP((M183),-1)</f>
        <v>0</v>
      </c>
      <c r="P183" s="67"/>
      <c r="Q183" s="67"/>
      <c r="R183" s="65"/>
      <c r="S183" s="65"/>
      <c r="T183" s="381"/>
      <c r="U183" s="381"/>
      <c r="V183" s="381"/>
      <c r="W183" s="319"/>
    </row>
    <row r="184" spans="1:23" ht="19.5" customHeight="1" x14ac:dyDescent="0.25">
      <c r="A184" s="437"/>
      <c r="B184" s="377"/>
      <c r="C184" s="64"/>
      <c r="D184" s="379"/>
      <c r="E184" s="384"/>
      <c r="F184" s="68" t="str">
        <f>F14</f>
        <v>норматив на 2024 год :</v>
      </c>
      <c r="G184" s="322">
        <v>46</v>
      </c>
      <c r="H184" s="67" t="s">
        <v>333</v>
      </c>
      <c r="I184" s="278">
        <f>I183*1.0822*1.0487</f>
        <v>5220.5544439999994</v>
      </c>
      <c r="J184" s="67" t="s">
        <v>41</v>
      </c>
      <c r="K184" s="322">
        <f>ROUND((G184*I184),2)</f>
        <v>240145.5</v>
      </c>
      <c r="L184" s="67" t="s">
        <v>41</v>
      </c>
      <c r="M184" s="70">
        <f>ROUNDUP((K184),0)</f>
        <v>240146</v>
      </c>
      <c r="N184" s="71" t="s">
        <v>37</v>
      </c>
      <c r="O184" s="70">
        <f t="shared" si="91"/>
        <v>240150</v>
      </c>
      <c r="P184" s="67" t="s">
        <v>332</v>
      </c>
      <c r="Q184" s="72"/>
      <c r="R184" s="72"/>
      <c r="S184" s="65"/>
      <c r="T184" s="381"/>
      <c r="U184" s="381"/>
      <c r="V184" s="381"/>
      <c r="W184" s="319" t="str">
        <f>""&amp;TEXT($G$183,"0,0")&amp;" у.ед. х "&amp;TEXT(ROUND((I184),2),"0 000,00")&amp;" руб. = "&amp;TEXT(ROUND(($G$183*(ROUND((K184/$G$183),2))),2),"0 000,00")&amp;" руб. = "&amp;TEXT(O184,"0 000,00")&amp;" руб."</f>
        <v>46,0 у.ед. х 5 220,55 руб. = 240 145,30 руб. = 240 150,00 руб.</v>
      </c>
    </row>
    <row r="185" spans="1:23" ht="19.5" customHeight="1" x14ac:dyDescent="0.25">
      <c r="A185" s="437"/>
      <c r="B185" s="377"/>
      <c r="C185" s="64"/>
      <c r="D185" s="379"/>
      <c r="E185" s="384"/>
      <c r="F185" s="68" t="str">
        <f>F15</f>
        <v>норматив на 2025 год :</v>
      </c>
      <c r="G185" s="322">
        <f>G184</f>
        <v>46</v>
      </c>
      <c r="H185" s="67" t="s">
        <v>333</v>
      </c>
      <c r="I185" s="278">
        <f>I184*1.0457</f>
        <v>5459.1337820908002</v>
      </c>
      <c r="J185" s="67" t="s">
        <v>41</v>
      </c>
      <c r="K185" s="322">
        <f t="shared" ref="K185:K186" si="92">ROUND((G185*I185),2)</f>
        <v>251120.15</v>
      </c>
      <c r="L185" s="67" t="s">
        <v>41</v>
      </c>
      <c r="M185" s="70">
        <f t="shared" ref="M185:M186" si="93">ROUNDUP((K185),0)</f>
        <v>251121</v>
      </c>
      <c r="N185" s="71" t="s">
        <v>37</v>
      </c>
      <c r="O185" s="70">
        <f t="shared" si="91"/>
        <v>251130</v>
      </c>
      <c r="P185" s="67" t="s">
        <v>332</v>
      </c>
      <c r="Q185" s="72"/>
      <c r="R185" s="72"/>
      <c r="S185" s="65"/>
      <c r="T185" s="381"/>
      <c r="U185" s="381"/>
      <c r="V185" s="381"/>
      <c r="W185" s="319" t="str">
        <f>""&amp;TEXT($G$183,"0,0")&amp;" у.ед. х "&amp;TEXT(ROUND((I185),2),"0 000,00")&amp;" руб. = "&amp;TEXT(ROUND(($G$183*(ROUND((K185/$G$183),2))),2),"0 000,00")&amp;" руб. = "&amp;TEXT(O185,"0 000,00")&amp;" руб."</f>
        <v>46,0 у.ед. х 5 459,13 руб. = 251 119,98 руб. = 251 130,00 руб.</v>
      </c>
    </row>
    <row r="186" spans="1:23" ht="19.5" customHeight="1" x14ac:dyDescent="0.25">
      <c r="A186" s="437"/>
      <c r="B186" s="377"/>
      <c r="C186" s="64"/>
      <c r="D186" s="379"/>
      <c r="E186" s="384"/>
      <c r="F186" s="68" t="str">
        <f>F16</f>
        <v>норматив на 2026 год :</v>
      </c>
      <c r="G186" s="322">
        <f>G185</f>
        <v>46</v>
      </c>
      <c r="H186" s="67" t="s">
        <v>333</v>
      </c>
      <c r="I186" s="278">
        <f>I185*1.0457</f>
        <v>5708.6161959323499</v>
      </c>
      <c r="J186" s="67" t="s">
        <v>41</v>
      </c>
      <c r="K186" s="322">
        <f t="shared" si="92"/>
        <v>262596.34999999998</v>
      </c>
      <c r="L186" s="67" t="s">
        <v>41</v>
      </c>
      <c r="M186" s="70">
        <f t="shared" si="93"/>
        <v>262597</v>
      </c>
      <c r="N186" s="71" t="s">
        <v>37</v>
      </c>
      <c r="O186" s="70">
        <f t="shared" si="91"/>
        <v>262600</v>
      </c>
      <c r="P186" s="67" t="s">
        <v>332</v>
      </c>
      <c r="Q186" s="70"/>
      <c r="R186" s="71"/>
      <c r="S186" s="65"/>
      <c r="T186" s="382"/>
      <c r="U186" s="382"/>
      <c r="V186" s="382"/>
      <c r="W186" s="319" t="str">
        <f>""&amp;TEXT($G$183,"0,0")&amp;" у.ед. х "&amp;TEXT(ROUND((I186),2),"0 000,00")&amp;" руб. = "&amp;TEXT(ROUND(($G$183*(ROUND((K186/$G$183),2))),2),"0 000,00")&amp;" руб. = "&amp;TEXT(O186,"0 000,00")&amp;" руб."</f>
        <v>46,0 у.ед. х 5 708,62 руб. = 262 596,52 руб. = 262 600,00 руб.</v>
      </c>
    </row>
    <row r="187" spans="1:23" ht="121.5" customHeight="1" x14ac:dyDescent="0.25">
      <c r="A187" s="383" t="s">
        <v>21</v>
      </c>
      <c r="B187" s="376" t="s">
        <v>322</v>
      </c>
      <c r="C187" s="64"/>
      <c r="D187" s="378">
        <v>226</v>
      </c>
      <c r="E187" s="378">
        <v>244</v>
      </c>
      <c r="F187" s="380" t="s">
        <v>249</v>
      </c>
      <c r="G187" s="380"/>
      <c r="H187" s="380"/>
      <c r="I187" s="380"/>
      <c r="J187" s="380"/>
      <c r="K187" s="380"/>
      <c r="L187" s="380"/>
      <c r="M187" s="380"/>
      <c r="N187" s="380"/>
      <c r="O187" s="380"/>
      <c r="P187" s="380"/>
      <c r="Q187" s="380"/>
      <c r="R187" s="380"/>
      <c r="S187" s="65"/>
      <c r="T187" s="381">
        <f>O189</f>
        <v>1161010</v>
      </c>
      <c r="U187" s="381">
        <f>O190</f>
        <v>1214070</v>
      </c>
      <c r="V187" s="381">
        <f>O191</f>
        <v>1269550</v>
      </c>
      <c r="W187" s="319" t="s">
        <v>79</v>
      </c>
    </row>
    <row r="188" spans="1:23" ht="16.5" customHeight="1" outlineLevel="1" x14ac:dyDescent="0.25">
      <c r="A188" s="383"/>
      <c r="B188" s="377"/>
      <c r="C188" s="64"/>
      <c r="D188" s="379"/>
      <c r="E188" s="379"/>
      <c r="F188" s="61">
        <v>2022</v>
      </c>
      <c r="G188" s="322">
        <v>30</v>
      </c>
      <c r="H188" s="67" t="s">
        <v>66</v>
      </c>
      <c r="I188" s="322">
        <v>1</v>
      </c>
      <c r="J188" s="67" t="s">
        <v>336</v>
      </c>
      <c r="K188" s="322">
        <v>34100</v>
      </c>
      <c r="L188" s="67" t="s">
        <v>41</v>
      </c>
      <c r="M188" s="322">
        <f>ROUND((G188*I188*K188),2)</f>
        <v>1023000</v>
      </c>
      <c r="N188" s="67" t="s">
        <v>37</v>
      </c>
      <c r="O188" s="70">
        <f t="shared" ref="O188:O191" si="94">ROUNDUP((M188),-1)</f>
        <v>1023000</v>
      </c>
      <c r="P188" s="67"/>
      <c r="Q188" s="61"/>
      <c r="R188" s="65"/>
      <c r="S188" s="65"/>
      <c r="T188" s="381"/>
      <c r="U188" s="381"/>
      <c r="V188" s="381"/>
    </row>
    <row r="189" spans="1:23" ht="18.75" customHeight="1" x14ac:dyDescent="0.25">
      <c r="A189" s="383"/>
      <c r="B189" s="377"/>
      <c r="C189" s="64"/>
      <c r="D189" s="379"/>
      <c r="E189" s="379"/>
      <c r="F189" s="68" t="str">
        <f>F14</f>
        <v>норматив на 2024 год :</v>
      </c>
      <c r="G189" s="322">
        <f>G188</f>
        <v>30</v>
      </c>
      <c r="H189" s="67" t="s">
        <v>334</v>
      </c>
      <c r="I189" s="69">
        <v>1</v>
      </c>
      <c r="J189" s="67" t="s">
        <v>336</v>
      </c>
      <c r="K189" s="278">
        <f>K188*1.0822*1.0487</f>
        <v>38700.197074000003</v>
      </c>
      <c r="L189" s="67" t="s">
        <v>41</v>
      </c>
      <c r="M189" s="322">
        <f t="shared" ref="M189:M191" si="95">ROUND((G189*I189*K189),2)</f>
        <v>1161005.9099999999</v>
      </c>
      <c r="N189" s="67" t="s">
        <v>37</v>
      </c>
      <c r="O189" s="70">
        <f t="shared" si="94"/>
        <v>1161010</v>
      </c>
      <c r="P189" s="67" t="s">
        <v>332</v>
      </c>
      <c r="Q189" s="72"/>
      <c r="R189" s="72"/>
      <c r="S189" s="65"/>
      <c r="T189" s="382"/>
      <c r="U189" s="382"/>
      <c r="V189" s="382"/>
      <c r="W189" s="319" t="str">
        <f>""&amp;TEXT($G$188,"0,0")&amp;" чел. х "&amp;TEXT($I$188,"0,0")&amp;" раз х "&amp;TEXT(ROUND((M189/$G$188/$I$188),2),"0 000,00")&amp;" руб. = "&amp;TEXT(ROUND((($G$188*$I$188*ROUND((M189/$G$188/$I$188),2))),2),"0 000,00")&amp;" руб. = "&amp;TEXT(O189,"0 000,00")&amp;" руб."</f>
        <v>30,0 чел. х 1,0 раз х 38 700,20 руб. = 1 161 006,00 руб. = 1 161 010,00 руб.</v>
      </c>
    </row>
    <row r="190" spans="1:23" ht="18.75" customHeight="1" x14ac:dyDescent="0.25">
      <c r="A190" s="383"/>
      <c r="B190" s="377"/>
      <c r="C190" s="64"/>
      <c r="D190" s="379"/>
      <c r="E190" s="379"/>
      <c r="F190" s="68" t="str">
        <f>F15</f>
        <v>норматив на 2025 год :</v>
      </c>
      <c r="G190" s="322">
        <f>G189</f>
        <v>30</v>
      </c>
      <c r="H190" s="67" t="str">
        <f>H189</f>
        <v xml:space="preserve">чел. х индекс потребительских цен </v>
      </c>
      <c r="I190" s="69">
        <v>1</v>
      </c>
      <c r="J190" s="67" t="s">
        <v>336</v>
      </c>
      <c r="K190" s="278">
        <f>K189*1.0457</f>
        <v>40468.796080281805</v>
      </c>
      <c r="L190" s="67" t="s">
        <v>41</v>
      </c>
      <c r="M190" s="322">
        <f t="shared" si="95"/>
        <v>1214063.8799999999</v>
      </c>
      <c r="N190" s="67" t="s">
        <v>37</v>
      </c>
      <c r="O190" s="70">
        <f t="shared" si="94"/>
        <v>1214070</v>
      </c>
      <c r="P190" s="67" t="s">
        <v>332</v>
      </c>
      <c r="Q190" s="72"/>
      <c r="R190" s="72"/>
      <c r="S190" s="65"/>
      <c r="T190" s="382"/>
      <c r="U190" s="382"/>
      <c r="V190" s="382"/>
      <c r="W190" s="319" t="str">
        <f>""&amp;TEXT($G$188,"0,0")&amp;" чел. х "&amp;TEXT($I$188,"0,0")&amp;" раз х "&amp;TEXT(ROUND((M190/$G$188/$I$188),2),"0 000,00")&amp;" руб. = "&amp;TEXT(ROUND((($G$188*$I$188*ROUND((M190/$G$188/$I$188),2))),2),"0 000,00")&amp;" руб. = "&amp;TEXT(O190,"0 000,00")&amp;" руб."</f>
        <v>30,0 чел. х 1,0 раз х 40 468,80 руб. = 1 214 064,00 руб. = 1 214 070,00 руб.</v>
      </c>
    </row>
    <row r="191" spans="1:23" ht="18.75" customHeight="1" x14ac:dyDescent="0.25">
      <c r="A191" s="383"/>
      <c r="B191" s="377"/>
      <c r="C191" s="64"/>
      <c r="D191" s="379"/>
      <c r="E191" s="379"/>
      <c r="F191" s="68" t="str">
        <f>F16</f>
        <v>норматив на 2026 год :</v>
      </c>
      <c r="G191" s="322">
        <f>G190</f>
        <v>30</v>
      </c>
      <c r="H191" s="67" t="str">
        <f>H189</f>
        <v xml:space="preserve">чел. х индекс потребительских цен </v>
      </c>
      <c r="I191" s="69">
        <v>1</v>
      </c>
      <c r="J191" s="67" t="s">
        <v>336</v>
      </c>
      <c r="K191" s="278">
        <f>K190*1.0457</f>
        <v>42318.220061150685</v>
      </c>
      <c r="L191" s="67" t="s">
        <v>41</v>
      </c>
      <c r="M191" s="322">
        <f t="shared" si="95"/>
        <v>1269546.6000000001</v>
      </c>
      <c r="N191" s="67" t="s">
        <v>37</v>
      </c>
      <c r="O191" s="70">
        <f t="shared" si="94"/>
        <v>1269550</v>
      </c>
      <c r="P191" s="67" t="s">
        <v>332</v>
      </c>
      <c r="Q191" s="70"/>
      <c r="R191" s="71"/>
      <c r="S191" s="65"/>
      <c r="T191" s="382"/>
      <c r="U191" s="382"/>
      <c r="V191" s="382"/>
      <c r="W191" s="319" t="str">
        <f>""&amp;TEXT($G$188,"0,0")&amp;" чел. х "&amp;TEXT($I$188,"0,0")&amp;" раз х "&amp;TEXT(ROUND((M191/$G$188/$I$188),2),"0 000,00")&amp;" руб. = "&amp;TEXT(ROUND((($G$188*$I$188*ROUND((M191/$G$188/$I$188),2))),2),"0 000,00")&amp;" руб. = "&amp;TEXT(O191,"0 000,00")&amp;" руб."</f>
        <v>30,0 чел. х 1,0 раз х 42 318,22 руб. = 1 269 546,60 руб. = 1 269 550,00 руб.</v>
      </c>
    </row>
    <row r="192" spans="1:23" ht="90" x14ac:dyDescent="0.25">
      <c r="A192" s="383" t="s">
        <v>22</v>
      </c>
      <c r="B192" s="376" t="s">
        <v>96</v>
      </c>
      <c r="C192" s="64"/>
      <c r="D192" s="378">
        <v>226</v>
      </c>
      <c r="E192" s="378">
        <v>244</v>
      </c>
      <c r="F192" s="380" t="s">
        <v>249</v>
      </c>
      <c r="G192" s="380"/>
      <c r="H192" s="380"/>
      <c r="I192" s="380"/>
      <c r="J192" s="380"/>
      <c r="K192" s="380"/>
      <c r="L192" s="380"/>
      <c r="M192" s="380"/>
      <c r="N192" s="380"/>
      <c r="O192" s="380"/>
      <c r="P192" s="380"/>
      <c r="Q192" s="380"/>
      <c r="R192" s="380"/>
      <c r="S192" s="65"/>
      <c r="T192" s="381">
        <f>O194</f>
        <v>4910</v>
      </c>
      <c r="U192" s="381">
        <f>O195</f>
        <v>5130</v>
      </c>
      <c r="V192" s="381">
        <f>O196</f>
        <v>5370</v>
      </c>
      <c r="W192" s="319" t="s">
        <v>174</v>
      </c>
    </row>
    <row r="193" spans="1:23" ht="17.25" customHeight="1" outlineLevel="1" x14ac:dyDescent="0.25">
      <c r="A193" s="383"/>
      <c r="B193" s="377"/>
      <c r="C193" s="64"/>
      <c r="D193" s="379"/>
      <c r="E193" s="379"/>
      <c r="F193" s="61">
        <v>2022</v>
      </c>
      <c r="G193" s="322">
        <v>2</v>
      </c>
      <c r="H193" s="67" t="s">
        <v>80</v>
      </c>
      <c r="I193" s="322">
        <v>2160.92</v>
      </c>
      <c r="J193" s="67" t="s">
        <v>41</v>
      </c>
      <c r="K193" s="322">
        <f>I193*G193</f>
        <v>4321.84</v>
      </c>
      <c r="L193" s="67" t="s">
        <v>37</v>
      </c>
      <c r="M193" s="67"/>
      <c r="N193" s="67"/>
      <c r="O193" s="70">
        <f t="shared" ref="O193:O196" si="96">ROUNDUP((M193),-1)</f>
        <v>0</v>
      </c>
      <c r="P193" s="67"/>
      <c r="Q193" s="67"/>
      <c r="R193" s="65"/>
      <c r="S193" s="65"/>
      <c r="T193" s="381"/>
      <c r="U193" s="381"/>
      <c r="V193" s="381"/>
      <c r="W193" s="319"/>
    </row>
    <row r="194" spans="1:23" ht="19.5" customHeight="1" x14ac:dyDescent="0.25">
      <c r="A194" s="383"/>
      <c r="B194" s="377"/>
      <c r="C194" s="64"/>
      <c r="D194" s="379"/>
      <c r="E194" s="379"/>
      <c r="F194" s="68" t="str">
        <f>F14</f>
        <v>норматив на 2024 год :</v>
      </c>
      <c r="G194" s="322">
        <v>2</v>
      </c>
      <c r="H194" s="67" t="s">
        <v>80</v>
      </c>
      <c r="I194" s="278">
        <f>I193*1.0822*1.0487</f>
        <v>2452.4348932888001</v>
      </c>
      <c r="J194" s="67" t="s">
        <v>41</v>
      </c>
      <c r="K194" s="322">
        <f t="shared" ref="K194:K196" si="97">I194*G194</f>
        <v>4904.8697865776003</v>
      </c>
      <c r="L194" s="67" t="s">
        <v>41</v>
      </c>
      <c r="M194" s="70">
        <f>ROUNDUP((K194),0)</f>
        <v>4905</v>
      </c>
      <c r="N194" s="71" t="s">
        <v>37</v>
      </c>
      <c r="O194" s="70">
        <f t="shared" si="96"/>
        <v>4910</v>
      </c>
      <c r="P194" s="71" t="s">
        <v>37</v>
      </c>
      <c r="Q194" s="70"/>
      <c r="R194" s="72"/>
      <c r="S194" s="65"/>
      <c r="T194" s="382"/>
      <c r="U194" s="382"/>
      <c r="V194" s="382"/>
      <c r="W194" s="319" t="str">
        <f>""&amp;TEXT($G$193,"0,0")&amp;" ед. х "&amp;TEXT(ROUND((I194),2),"0 000,00")&amp;" руб. = "&amp;TEXT(ROUND(((ROUND((M194),2))),2),"0 000,00")&amp;" руб. = "&amp;TEXT(O194,"0 000,00")&amp;" руб."</f>
        <v>2,0 ед. х 2 452,43 руб. = 4 905,00 руб. = 4 910,00 руб.</v>
      </c>
    </row>
    <row r="195" spans="1:23" ht="19.5" customHeight="1" x14ac:dyDescent="0.25">
      <c r="A195" s="383"/>
      <c r="B195" s="377"/>
      <c r="C195" s="64"/>
      <c r="D195" s="379"/>
      <c r="E195" s="379"/>
      <c r="F195" s="68" t="str">
        <f>F15</f>
        <v>норматив на 2025 год :</v>
      </c>
      <c r="G195" s="322">
        <v>2</v>
      </c>
      <c r="H195" s="67" t="s">
        <v>80</v>
      </c>
      <c r="I195" s="278">
        <f>I194*1.0457</f>
        <v>2564.5111679120987</v>
      </c>
      <c r="J195" s="67" t="s">
        <v>41</v>
      </c>
      <c r="K195" s="322">
        <f t="shared" si="97"/>
        <v>5129.0223358241974</v>
      </c>
      <c r="L195" s="67" t="s">
        <v>41</v>
      </c>
      <c r="M195" s="70">
        <f t="shared" ref="M195:M196" si="98">ROUNDUP((K195),0)</f>
        <v>5130</v>
      </c>
      <c r="N195" s="71" t="s">
        <v>37</v>
      </c>
      <c r="O195" s="70">
        <f t="shared" si="96"/>
        <v>5130</v>
      </c>
      <c r="P195" s="71" t="s">
        <v>37</v>
      </c>
      <c r="Q195" s="70"/>
      <c r="R195" s="72"/>
      <c r="S195" s="65"/>
      <c r="T195" s="382"/>
      <c r="U195" s="382"/>
      <c r="V195" s="382"/>
      <c r="W195" s="319" t="str">
        <f t="shared" ref="W195:W196" si="99">""&amp;TEXT($G$193,"0,0")&amp;" ед. х "&amp;TEXT(ROUND((I195),2),"0 000,00")&amp;" руб. = "&amp;TEXT(ROUND(((ROUND((M195),2))),2),"0 000,00")&amp;" руб. = "&amp;TEXT(O195,"0 000,00")&amp;" руб."</f>
        <v>2,0 ед. х 2 564,51 руб. = 5 130,00 руб. = 5 130,00 руб.</v>
      </c>
    </row>
    <row r="196" spans="1:23" ht="19.5" customHeight="1" x14ac:dyDescent="0.25">
      <c r="A196" s="383"/>
      <c r="B196" s="377"/>
      <c r="C196" s="64"/>
      <c r="D196" s="379"/>
      <c r="E196" s="379"/>
      <c r="F196" s="68" t="str">
        <f>F16</f>
        <v>норматив на 2026 год :</v>
      </c>
      <c r="G196" s="322">
        <v>2</v>
      </c>
      <c r="H196" s="67" t="s">
        <v>80</v>
      </c>
      <c r="I196" s="278">
        <f>I195*1.0457</f>
        <v>2681.7093282856817</v>
      </c>
      <c r="J196" s="67" t="s">
        <v>41</v>
      </c>
      <c r="K196" s="322">
        <f t="shared" si="97"/>
        <v>5363.4186565713635</v>
      </c>
      <c r="L196" s="67" t="s">
        <v>41</v>
      </c>
      <c r="M196" s="70">
        <f t="shared" si="98"/>
        <v>5364</v>
      </c>
      <c r="N196" s="71" t="s">
        <v>37</v>
      </c>
      <c r="O196" s="70">
        <f t="shared" si="96"/>
        <v>5370</v>
      </c>
      <c r="P196" s="71" t="s">
        <v>37</v>
      </c>
      <c r="Q196" s="70"/>
      <c r="R196" s="71"/>
      <c r="S196" s="65"/>
      <c r="T196" s="382"/>
      <c r="U196" s="382"/>
      <c r="V196" s="382"/>
      <c r="W196" s="319" t="str">
        <f t="shared" si="99"/>
        <v>2,0 ед. х 2 681,71 руб. = 5 364,00 руб. = 5 370,00 руб.</v>
      </c>
    </row>
    <row r="197" spans="1:23" ht="90" x14ac:dyDescent="0.25">
      <c r="A197" s="388" t="s">
        <v>190</v>
      </c>
      <c r="B197" s="391" t="s">
        <v>191</v>
      </c>
      <c r="C197" s="64"/>
      <c r="D197" s="394">
        <v>226</v>
      </c>
      <c r="E197" s="394">
        <v>244</v>
      </c>
      <c r="F197" s="380" t="s">
        <v>358</v>
      </c>
      <c r="G197" s="380"/>
      <c r="H197" s="380"/>
      <c r="I197" s="380"/>
      <c r="J197" s="380"/>
      <c r="K197" s="380"/>
      <c r="L197" s="380"/>
      <c r="M197" s="380"/>
      <c r="N197" s="380"/>
      <c r="O197" s="380"/>
      <c r="P197" s="380"/>
      <c r="Q197" s="380"/>
      <c r="R197" s="380"/>
      <c r="S197" s="65"/>
      <c r="T197" s="385">
        <f>O199</f>
        <v>2453960</v>
      </c>
      <c r="U197" s="385">
        <f>O200</f>
        <v>2566110</v>
      </c>
      <c r="V197" s="385">
        <f>O201</f>
        <v>2683380</v>
      </c>
      <c r="W197" s="319" t="s">
        <v>337</v>
      </c>
    </row>
    <row r="198" spans="1:23" ht="21" customHeight="1" x14ac:dyDescent="0.25">
      <c r="A198" s="389"/>
      <c r="B198" s="392"/>
      <c r="C198" s="64"/>
      <c r="D198" s="395"/>
      <c r="E198" s="395"/>
      <c r="F198" s="61"/>
      <c r="G198" s="322">
        <v>3000</v>
      </c>
      <c r="H198" s="67" t="s">
        <v>195</v>
      </c>
      <c r="I198" s="322"/>
      <c r="J198" s="67" t="s">
        <v>41</v>
      </c>
      <c r="K198" s="69"/>
      <c r="L198" s="67" t="s">
        <v>37</v>
      </c>
      <c r="M198" s="322"/>
      <c r="N198" s="67"/>
      <c r="O198" s="70">
        <f t="shared" ref="O198:O201" si="100">ROUNDUP((M198),-1)</f>
        <v>0</v>
      </c>
      <c r="P198" s="71"/>
      <c r="Q198" s="72"/>
      <c r="R198" s="72"/>
      <c r="S198" s="65"/>
      <c r="T198" s="386"/>
      <c r="U198" s="386"/>
      <c r="V198" s="386"/>
      <c r="W198" s="319"/>
    </row>
    <row r="199" spans="1:23" ht="23.25" customHeight="1" x14ac:dyDescent="0.25">
      <c r="A199" s="389"/>
      <c r="B199" s="392"/>
      <c r="C199" s="64"/>
      <c r="D199" s="395"/>
      <c r="E199" s="395"/>
      <c r="F199" s="68" t="str">
        <f>F14</f>
        <v>норматив на 2024 год :</v>
      </c>
      <c r="G199" s="322">
        <v>3000</v>
      </c>
      <c r="H199" s="67" t="s">
        <v>195</v>
      </c>
      <c r="I199" s="278">
        <f>780*1.0487</f>
        <v>817.98599999999999</v>
      </c>
      <c r="J199" s="67" t="s">
        <v>41</v>
      </c>
      <c r="K199" s="322">
        <f t="shared" ref="K199:K201" si="101">I199*G199</f>
        <v>2453958</v>
      </c>
      <c r="L199" s="67" t="s">
        <v>37</v>
      </c>
      <c r="M199" s="70">
        <f>ROUNDUP((K199),0)</f>
        <v>2453958</v>
      </c>
      <c r="N199" s="71" t="s">
        <v>37</v>
      </c>
      <c r="O199" s="70">
        <f t="shared" si="100"/>
        <v>2453960</v>
      </c>
      <c r="P199" s="71" t="s">
        <v>37</v>
      </c>
      <c r="Q199" s="70"/>
      <c r="R199" s="72"/>
      <c r="S199" s="65"/>
      <c r="T199" s="386"/>
      <c r="U199" s="386"/>
      <c r="V199" s="386"/>
      <c r="W199" s="319" t="str">
        <f>""&amp;TEXT($G$200,"0,0")&amp;" ед. х "&amp;TEXT(ROUND((I199),2)," 000,00")&amp;" руб. = "&amp;TEXT(ROUND(((ROUND((G199*I199),2))),2),"0 000,00")&amp;" руб. = "&amp;TEXT(O199,"0 000,00")&amp;" руб."</f>
        <v>3000,0 ед. х  817,99 руб. = 2 453 958,00 руб. = 2 453 960,00 руб.</v>
      </c>
    </row>
    <row r="200" spans="1:23" ht="21" customHeight="1" x14ac:dyDescent="0.25">
      <c r="A200" s="389"/>
      <c r="B200" s="392"/>
      <c r="C200" s="64"/>
      <c r="D200" s="395"/>
      <c r="E200" s="395"/>
      <c r="F200" s="68" t="str">
        <f>F15</f>
        <v>норматив на 2025 год :</v>
      </c>
      <c r="G200" s="322">
        <v>3000</v>
      </c>
      <c r="H200" s="67" t="s">
        <v>195</v>
      </c>
      <c r="I200" s="278">
        <f>I199*1.0457</f>
        <v>855.36796020000008</v>
      </c>
      <c r="J200" s="67" t="s">
        <v>41</v>
      </c>
      <c r="K200" s="322">
        <f t="shared" si="101"/>
        <v>2566103.8806000003</v>
      </c>
      <c r="L200" s="67" t="s">
        <v>37</v>
      </c>
      <c r="M200" s="70">
        <f t="shared" ref="M200:M201" si="102">ROUNDUP((K200),0)</f>
        <v>2566104</v>
      </c>
      <c r="N200" s="71" t="s">
        <v>37</v>
      </c>
      <c r="O200" s="70">
        <f t="shared" si="100"/>
        <v>2566110</v>
      </c>
      <c r="P200" s="71" t="s">
        <v>37</v>
      </c>
      <c r="Q200" s="70"/>
      <c r="R200" s="72"/>
      <c r="S200" s="65"/>
      <c r="T200" s="386"/>
      <c r="U200" s="386"/>
      <c r="V200" s="386"/>
      <c r="W200" s="319" t="str">
        <f t="shared" ref="W200:W201" si="103">""&amp;TEXT($G$200,"0,0")&amp;" ед. х "&amp;TEXT(ROUND((I200),2)," 000,00")&amp;" руб. = "&amp;TEXT(ROUND(((ROUND((G200*I200),2))),2),"0 000,00")&amp;" руб. = "&amp;TEXT(O200,"0 000,00")&amp;" руб."</f>
        <v>3000,0 ед. х  855,37 руб. = 2 566 103,88 руб. = 2 566 110,00 руб.</v>
      </c>
    </row>
    <row r="201" spans="1:23" ht="21" customHeight="1" x14ac:dyDescent="0.25">
      <c r="A201" s="390"/>
      <c r="B201" s="393"/>
      <c r="C201" s="64"/>
      <c r="D201" s="396"/>
      <c r="E201" s="396"/>
      <c r="F201" s="68" t="str">
        <f>F16</f>
        <v>норматив на 2026 год :</v>
      </c>
      <c r="G201" s="322">
        <v>3000</v>
      </c>
      <c r="H201" s="67" t="s">
        <v>195</v>
      </c>
      <c r="I201" s="278">
        <f>I200*1.0457</f>
        <v>894.4582759811401</v>
      </c>
      <c r="J201" s="67" t="s">
        <v>41</v>
      </c>
      <c r="K201" s="322">
        <f t="shared" si="101"/>
        <v>2683374.8279434205</v>
      </c>
      <c r="L201" s="67" t="s">
        <v>37</v>
      </c>
      <c r="M201" s="70">
        <f t="shared" si="102"/>
        <v>2683375</v>
      </c>
      <c r="N201" s="71" t="s">
        <v>37</v>
      </c>
      <c r="O201" s="70">
        <f t="shared" si="100"/>
        <v>2683380</v>
      </c>
      <c r="P201" s="71" t="s">
        <v>37</v>
      </c>
      <c r="Q201" s="70"/>
      <c r="R201" s="71"/>
      <c r="S201" s="65"/>
      <c r="T201" s="387"/>
      <c r="U201" s="387"/>
      <c r="V201" s="387"/>
      <c r="W201" s="319" t="str">
        <f t="shared" si="103"/>
        <v>3000,0 ед. х  894,46 руб. = 2 683 374,83 руб. = 2 683 380,00 руб.</v>
      </c>
    </row>
    <row r="202" spans="1:23" ht="93.75" customHeight="1" x14ac:dyDescent="0.25">
      <c r="A202" s="388" t="s">
        <v>327</v>
      </c>
      <c r="B202" s="391" t="s">
        <v>328</v>
      </c>
      <c r="C202" s="64"/>
      <c r="D202" s="394">
        <v>226</v>
      </c>
      <c r="E202" s="394">
        <v>244</v>
      </c>
      <c r="F202" s="380" t="s">
        <v>249</v>
      </c>
      <c r="G202" s="380"/>
      <c r="H202" s="380"/>
      <c r="I202" s="380"/>
      <c r="J202" s="380"/>
      <c r="K202" s="380"/>
      <c r="L202" s="380"/>
      <c r="M202" s="380"/>
      <c r="N202" s="380"/>
      <c r="O202" s="380"/>
      <c r="P202" s="380"/>
      <c r="Q202" s="380"/>
      <c r="R202" s="380"/>
      <c r="S202" s="65"/>
      <c r="T202" s="385">
        <f>O204</f>
        <v>77370</v>
      </c>
      <c r="U202" s="385">
        <f>O205</f>
        <v>80900</v>
      </c>
      <c r="V202" s="385">
        <f>O206</f>
        <v>84600</v>
      </c>
      <c r="W202" s="319" t="s">
        <v>329</v>
      </c>
    </row>
    <row r="203" spans="1:23" ht="21" customHeight="1" x14ac:dyDescent="0.25">
      <c r="A203" s="389"/>
      <c r="B203" s="392"/>
      <c r="C203" s="64"/>
      <c r="D203" s="395"/>
      <c r="E203" s="395"/>
      <c r="F203" s="61">
        <v>2022</v>
      </c>
      <c r="G203" s="322">
        <v>1</v>
      </c>
      <c r="H203" s="67" t="s">
        <v>231</v>
      </c>
      <c r="I203" s="322">
        <f>ROUNDUP((68166.67/G203),2)</f>
        <v>68166.67</v>
      </c>
      <c r="J203" s="67" t="s">
        <v>41</v>
      </c>
      <c r="K203" s="322">
        <f t="shared" ref="K203:K206" si="104">I203*G203</f>
        <v>68166.67</v>
      </c>
      <c r="L203" s="67" t="s">
        <v>37</v>
      </c>
      <c r="M203" s="67"/>
      <c r="N203" s="67"/>
      <c r="O203" s="70">
        <f t="shared" ref="O203:O206" si="105">ROUNDUP((M203),-1)</f>
        <v>0</v>
      </c>
      <c r="P203" s="67"/>
      <c r="Q203" s="67"/>
      <c r="R203" s="65"/>
      <c r="S203" s="65"/>
      <c r="T203" s="386"/>
      <c r="U203" s="386"/>
      <c r="V203" s="386"/>
      <c r="W203" s="319"/>
    </row>
    <row r="204" spans="1:23" ht="21" customHeight="1" x14ac:dyDescent="0.25">
      <c r="A204" s="389"/>
      <c r="B204" s="392"/>
      <c r="C204" s="64"/>
      <c r="D204" s="395"/>
      <c r="E204" s="395"/>
      <c r="F204" s="68" t="s">
        <v>193</v>
      </c>
      <c r="G204" s="322">
        <v>1</v>
      </c>
      <c r="H204" s="65" t="s">
        <v>271</v>
      </c>
      <c r="I204" s="278">
        <f>I203*1.0822*1.0487</f>
        <v>77362.567826343802</v>
      </c>
      <c r="J204" s="67" t="s">
        <v>41</v>
      </c>
      <c r="K204" s="322">
        <f t="shared" si="104"/>
        <v>77362.567826343802</v>
      </c>
      <c r="L204" s="67" t="s">
        <v>41</v>
      </c>
      <c r="M204" s="70">
        <f>ROUNDUP((K204),0)</f>
        <v>77363</v>
      </c>
      <c r="N204" s="71" t="s">
        <v>37</v>
      </c>
      <c r="O204" s="70">
        <f t="shared" si="105"/>
        <v>77370</v>
      </c>
      <c r="P204" s="67" t="s">
        <v>332</v>
      </c>
      <c r="Q204" s="72"/>
      <c r="R204" s="72"/>
      <c r="S204" s="65"/>
      <c r="T204" s="386"/>
      <c r="U204" s="386"/>
      <c r="V204" s="386"/>
      <c r="W204" s="319" t="str">
        <f>""&amp;TEXT(G204,"0,0")&amp;" ед. х "&amp;TEXT(ROUND((K204/G204),2),"0,00")&amp;" руб. = "&amp;TEXT(ROUND((G204*(ROUND((K204/G204),2))),2),"0 000,00")&amp;" руб. = "&amp;TEXT(O204,"0 000,00")&amp;" руб."</f>
        <v>1,0 ед. х 77362,57 руб. = 77 362,57 руб. = 77 370,00 руб.</v>
      </c>
    </row>
    <row r="205" spans="1:23" ht="21" customHeight="1" x14ac:dyDescent="0.25">
      <c r="A205" s="389"/>
      <c r="B205" s="392"/>
      <c r="C205" s="64"/>
      <c r="D205" s="395"/>
      <c r="E205" s="395"/>
      <c r="F205" s="68" t="s">
        <v>226</v>
      </c>
      <c r="G205" s="322">
        <v>1</v>
      </c>
      <c r="H205" s="67" t="str">
        <f>H204</f>
        <v>ед. х средняя цена с индексом потребительских цен</v>
      </c>
      <c r="I205" s="278">
        <f>I204*1.0457</f>
        <v>80898.037176007725</v>
      </c>
      <c r="J205" s="67" t="s">
        <v>41</v>
      </c>
      <c r="K205" s="322">
        <f t="shared" si="104"/>
        <v>80898.037176007725</v>
      </c>
      <c r="L205" s="67" t="s">
        <v>41</v>
      </c>
      <c r="M205" s="70">
        <f t="shared" ref="M205:M206" si="106">ROUNDUP((K205),0)</f>
        <v>80899</v>
      </c>
      <c r="N205" s="71" t="s">
        <v>37</v>
      </c>
      <c r="O205" s="70">
        <f t="shared" si="105"/>
        <v>80900</v>
      </c>
      <c r="P205" s="67" t="s">
        <v>332</v>
      </c>
      <c r="Q205" s="72"/>
      <c r="R205" s="72"/>
      <c r="S205" s="65"/>
      <c r="T205" s="386"/>
      <c r="U205" s="386"/>
      <c r="V205" s="386"/>
      <c r="W205" s="319" t="str">
        <f>""&amp;TEXT(G205,"0,0")&amp;" ед. х "&amp;TEXT(ROUND((K205/G205),2),"0,00")&amp;" руб. = "&amp;TEXT(ROUND((G205*(ROUND((K205/G205),2))),2),"0 000,00")&amp;" руб. = "&amp;TEXT(O205,"0 000,00")&amp;" руб."</f>
        <v>1,0 ед. х 80898,04 руб. = 80 898,04 руб. = 80 900,00 руб.</v>
      </c>
    </row>
    <row r="206" spans="1:23" ht="21" customHeight="1" x14ac:dyDescent="0.25">
      <c r="A206" s="390"/>
      <c r="B206" s="393"/>
      <c r="C206" s="64"/>
      <c r="D206" s="396"/>
      <c r="E206" s="396"/>
      <c r="F206" s="68" t="s">
        <v>240</v>
      </c>
      <c r="G206" s="322">
        <v>1</v>
      </c>
      <c r="H206" s="67" t="str">
        <f>H204</f>
        <v>ед. х средняя цена с индексом потребительских цен</v>
      </c>
      <c r="I206" s="278">
        <f>I205*1.0457</f>
        <v>84595.077474951278</v>
      </c>
      <c r="J206" s="67" t="s">
        <v>41</v>
      </c>
      <c r="K206" s="322">
        <f t="shared" si="104"/>
        <v>84595.077474951278</v>
      </c>
      <c r="L206" s="67" t="s">
        <v>41</v>
      </c>
      <c r="M206" s="70">
        <f t="shared" si="106"/>
        <v>84596</v>
      </c>
      <c r="N206" s="71" t="s">
        <v>37</v>
      </c>
      <c r="O206" s="70">
        <f t="shared" si="105"/>
        <v>84600</v>
      </c>
      <c r="P206" s="67" t="s">
        <v>332</v>
      </c>
      <c r="Q206" s="72"/>
      <c r="R206" s="72"/>
      <c r="S206" s="65"/>
      <c r="T206" s="387"/>
      <c r="U206" s="387"/>
      <c r="V206" s="387"/>
      <c r="W206" s="319" t="str">
        <f>""&amp;TEXT(G206,"0,0")&amp;" ед. х "&amp;TEXT(ROUND((K206/G206),2),"0,00")&amp;" руб. = "&amp;TEXT(ROUND((G206*(ROUND((K206/G206),2))),2),"0 000,00")&amp;" руб. = "&amp;TEXT(O206,"0 000,00")&amp;" руб."</f>
        <v>1,0 ед. х 84595,08 руб. = 84 595,08 руб. = 84 600,00 руб.</v>
      </c>
    </row>
    <row r="207" spans="1:23" ht="93.75" customHeight="1" x14ac:dyDescent="0.25">
      <c r="A207" s="388" t="s">
        <v>356</v>
      </c>
      <c r="B207" s="391" t="s">
        <v>357</v>
      </c>
      <c r="C207" s="64"/>
      <c r="D207" s="394">
        <v>226</v>
      </c>
      <c r="E207" s="394">
        <v>244</v>
      </c>
      <c r="F207" s="380" t="s">
        <v>358</v>
      </c>
      <c r="G207" s="380"/>
      <c r="H207" s="380"/>
      <c r="I207" s="380"/>
      <c r="J207" s="380"/>
      <c r="K207" s="380"/>
      <c r="L207" s="380"/>
      <c r="M207" s="380"/>
      <c r="N207" s="380"/>
      <c r="O207" s="380"/>
      <c r="P207" s="380"/>
      <c r="Q207" s="380"/>
      <c r="R207" s="380"/>
      <c r="S207" s="65"/>
      <c r="T207" s="385">
        <f>O209</f>
        <v>134030</v>
      </c>
      <c r="U207" s="385">
        <f>O210</f>
        <v>140150</v>
      </c>
      <c r="V207" s="385">
        <f>O211</f>
        <v>146560</v>
      </c>
      <c r="W207" s="327" t="s">
        <v>368</v>
      </c>
    </row>
    <row r="208" spans="1:23" ht="21" customHeight="1" x14ac:dyDescent="0.25">
      <c r="A208" s="389"/>
      <c r="B208" s="392"/>
      <c r="C208" s="64"/>
      <c r="D208" s="395"/>
      <c r="E208" s="395"/>
      <c r="F208" s="61">
        <v>2023</v>
      </c>
      <c r="G208" s="328">
        <v>213</v>
      </c>
      <c r="H208" s="67" t="s">
        <v>231</v>
      </c>
      <c r="I208" s="328"/>
      <c r="J208" s="67" t="s">
        <v>41</v>
      </c>
      <c r="K208" s="328">
        <f t="shared" ref="K208:K211" si="107">I208*G208</f>
        <v>0</v>
      </c>
      <c r="L208" s="67" t="s">
        <v>37</v>
      </c>
      <c r="M208" s="67"/>
      <c r="N208" s="67"/>
      <c r="O208" s="70">
        <f t="shared" ref="O208:O211" si="108">ROUNDUP((M208),-1)</f>
        <v>0</v>
      </c>
      <c r="P208" s="67"/>
      <c r="Q208" s="67"/>
      <c r="R208" s="65"/>
      <c r="S208" s="65"/>
      <c r="T208" s="386"/>
      <c r="U208" s="386"/>
      <c r="V208" s="386"/>
      <c r="W208" s="327"/>
    </row>
    <row r="209" spans="1:23" ht="21" customHeight="1" x14ac:dyDescent="0.25">
      <c r="A209" s="389"/>
      <c r="B209" s="392"/>
      <c r="C209" s="64"/>
      <c r="D209" s="395"/>
      <c r="E209" s="395"/>
      <c r="F209" s="68">
        <f>F9</f>
        <v>0</v>
      </c>
      <c r="G209" s="328">
        <f>G208</f>
        <v>213</v>
      </c>
      <c r="H209" s="65" t="s">
        <v>271</v>
      </c>
      <c r="I209" s="278">
        <f>600*1.0487</f>
        <v>629.22</v>
      </c>
      <c r="J209" s="67" t="s">
        <v>41</v>
      </c>
      <c r="K209" s="328">
        <f t="shared" si="107"/>
        <v>134023.86000000002</v>
      </c>
      <c r="L209" s="67" t="s">
        <v>41</v>
      </c>
      <c r="M209" s="70">
        <f>ROUNDUP((K209),0)</f>
        <v>134024</v>
      </c>
      <c r="N209" s="71" t="s">
        <v>37</v>
      </c>
      <c r="O209" s="70">
        <f t="shared" si="108"/>
        <v>134030</v>
      </c>
      <c r="P209" s="67" t="s">
        <v>332</v>
      </c>
      <c r="Q209" s="72"/>
      <c r="R209" s="72"/>
      <c r="S209" s="65"/>
      <c r="T209" s="386"/>
      <c r="U209" s="386"/>
      <c r="V209" s="386"/>
      <c r="W209" s="327" t="str">
        <f>""&amp;TEXT(G209,"0,0")&amp;" ед. х "&amp;TEXT(ROUND((K209/G209),2),"0,00")&amp;" руб. = "&amp;TEXT(ROUND((G209*(ROUND((K209/G209),2))),2),"0 000,00")&amp;" руб. = "&amp;TEXT(O209,"0 000,00")&amp;" руб."</f>
        <v>213,0 ед. х 629,22 руб. = 134 023,86 руб. = 134 030,00 руб.</v>
      </c>
    </row>
    <row r="210" spans="1:23" ht="21" customHeight="1" x14ac:dyDescent="0.25">
      <c r="A210" s="389"/>
      <c r="B210" s="392"/>
      <c r="C210" s="64"/>
      <c r="D210" s="395"/>
      <c r="E210" s="395"/>
      <c r="F210" s="68">
        <f>F10</f>
        <v>0</v>
      </c>
      <c r="G210" s="328">
        <f>G208</f>
        <v>213</v>
      </c>
      <c r="H210" s="67" t="str">
        <f>H209</f>
        <v>ед. х средняя цена с индексом потребительских цен</v>
      </c>
      <c r="I210" s="278">
        <f>I209*1.0457</f>
        <v>657.97535400000004</v>
      </c>
      <c r="J210" s="67" t="s">
        <v>41</v>
      </c>
      <c r="K210" s="328">
        <f t="shared" si="107"/>
        <v>140148.75040200001</v>
      </c>
      <c r="L210" s="67" t="s">
        <v>41</v>
      </c>
      <c r="M210" s="70">
        <f t="shared" ref="M210:M211" si="109">ROUNDUP((K210),0)</f>
        <v>140149</v>
      </c>
      <c r="N210" s="71" t="s">
        <v>37</v>
      </c>
      <c r="O210" s="70">
        <f t="shared" si="108"/>
        <v>140150</v>
      </c>
      <c r="P210" s="67" t="s">
        <v>332</v>
      </c>
      <c r="Q210" s="72"/>
      <c r="R210" s="72"/>
      <c r="S210" s="65"/>
      <c r="T210" s="386"/>
      <c r="U210" s="386"/>
      <c r="V210" s="386"/>
      <c r="W210" s="327" t="str">
        <f>""&amp;TEXT(G210,"0,0")&amp;" ед. х "&amp;TEXT(ROUND((K210/G210),2),"0,00")&amp;" руб. = "&amp;TEXT(ROUND((G210*(ROUND((K210/G210),2))),2),"0 000,00")&amp;" руб. = "&amp;TEXT(O210,"0 000,00")&amp;" руб."</f>
        <v>213,0 ед. х 657,98 руб. = 140 149,74 руб. = 140 150,00 руб.</v>
      </c>
    </row>
    <row r="211" spans="1:23" ht="21" customHeight="1" x14ac:dyDescent="0.25">
      <c r="A211" s="390"/>
      <c r="B211" s="393"/>
      <c r="C211" s="64"/>
      <c r="D211" s="396"/>
      <c r="E211" s="396"/>
      <c r="F211" s="68">
        <f>F11</f>
        <v>0</v>
      </c>
      <c r="G211" s="328">
        <f>G208</f>
        <v>213</v>
      </c>
      <c r="H211" s="67" t="str">
        <f>H209</f>
        <v>ед. х средняя цена с индексом потребительских цен</v>
      </c>
      <c r="I211" s="278">
        <f>I210*1.0457</f>
        <v>688.04482767780007</v>
      </c>
      <c r="J211" s="67" t="s">
        <v>41</v>
      </c>
      <c r="K211" s="328">
        <f t="shared" si="107"/>
        <v>146553.54829537141</v>
      </c>
      <c r="L211" s="67" t="s">
        <v>41</v>
      </c>
      <c r="M211" s="70">
        <f t="shared" si="109"/>
        <v>146554</v>
      </c>
      <c r="N211" s="71" t="s">
        <v>37</v>
      </c>
      <c r="O211" s="70">
        <f t="shared" si="108"/>
        <v>146560</v>
      </c>
      <c r="P211" s="67" t="s">
        <v>332</v>
      </c>
      <c r="Q211" s="72"/>
      <c r="R211" s="72"/>
      <c r="S211" s="65"/>
      <c r="T211" s="387"/>
      <c r="U211" s="387"/>
      <c r="V211" s="387"/>
      <c r="W211" s="327" t="str">
        <f>""&amp;TEXT(G211,"0,0")&amp;" ед. х "&amp;TEXT(ROUND((K211/G211),2),"0,00")&amp;" руб. = "&amp;TEXT(ROUND((G211*(ROUND((K211/G211),2))),2),"0 000,00")&amp;" руб. = "&amp;TEXT(O211,"0 000,00")&amp;" руб."</f>
        <v>213,0 ед. х 688,04 руб. = 146 552,52 руб. = 146 560,00 руб.</v>
      </c>
    </row>
    <row r="212" spans="1:23" ht="93.75" customHeight="1" x14ac:dyDescent="0.25">
      <c r="A212" s="388" t="s">
        <v>366</v>
      </c>
      <c r="B212" s="391" t="s">
        <v>367</v>
      </c>
      <c r="C212" s="64"/>
      <c r="D212" s="394">
        <v>226</v>
      </c>
      <c r="E212" s="394">
        <v>244</v>
      </c>
      <c r="F212" s="380" t="s">
        <v>358</v>
      </c>
      <c r="G212" s="380"/>
      <c r="H212" s="380"/>
      <c r="I212" s="380"/>
      <c r="J212" s="380"/>
      <c r="K212" s="380"/>
      <c r="L212" s="380"/>
      <c r="M212" s="380"/>
      <c r="N212" s="380"/>
      <c r="O212" s="380"/>
      <c r="P212" s="380"/>
      <c r="Q212" s="380"/>
      <c r="R212" s="380"/>
      <c r="S212" s="65"/>
      <c r="T212" s="385">
        <f>O214</f>
        <v>148920</v>
      </c>
      <c r="U212" s="385">
        <f>O215</f>
        <v>155730</v>
      </c>
      <c r="V212" s="385">
        <f>O216</f>
        <v>162840</v>
      </c>
      <c r="W212" s="327" t="s">
        <v>369</v>
      </c>
    </row>
    <row r="213" spans="1:23" ht="21" customHeight="1" x14ac:dyDescent="0.25">
      <c r="A213" s="389"/>
      <c r="B213" s="392"/>
      <c r="C213" s="64"/>
      <c r="D213" s="395"/>
      <c r="E213" s="395"/>
      <c r="F213" s="61">
        <v>2023</v>
      </c>
      <c r="G213" s="328">
        <v>213</v>
      </c>
      <c r="H213" s="67" t="s">
        <v>231</v>
      </c>
      <c r="I213" s="328"/>
      <c r="J213" s="67" t="s">
        <v>41</v>
      </c>
      <c r="K213" s="328">
        <f t="shared" ref="K213:K216" si="110">I213*G213</f>
        <v>0</v>
      </c>
      <c r="L213" s="67" t="s">
        <v>37</v>
      </c>
      <c r="M213" s="67"/>
      <c r="N213" s="67"/>
      <c r="O213" s="70">
        <f t="shared" ref="O213:O216" si="111">ROUNDUP((M213),-1)</f>
        <v>0</v>
      </c>
      <c r="P213" s="67"/>
      <c r="Q213" s="67"/>
      <c r="R213" s="65"/>
      <c r="S213" s="65"/>
      <c r="T213" s="386"/>
      <c r="U213" s="386"/>
      <c r="V213" s="386"/>
      <c r="W213" s="327"/>
    </row>
    <row r="214" spans="1:23" ht="21" customHeight="1" x14ac:dyDescent="0.25">
      <c r="A214" s="389"/>
      <c r="B214" s="392"/>
      <c r="C214" s="64"/>
      <c r="D214" s="395"/>
      <c r="E214" s="395"/>
      <c r="F214" s="68" t="str">
        <f>F14</f>
        <v>норматив на 2024 год :</v>
      </c>
      <c r="G214" s="328">
        <f>G213</f>
        <v>213</v>
      </c>
      <c r="H214" s="65" t="s">
        <v>271</v>
      </c>
      <c r="I214" s="278">
        <f>666.67*1.0487</f>
        <v>699.13682899999992</v>
      </c>
      <c r="J214" s="67" t="s">
        <v>41</v>
      </c>
      <c r="K214" s="328">
        <f t="shared" si="110"/>
        <v>148916.14457699997</v>
      </c>
      <c r="L214" s="67" t="s">
        <v>41</v>
      </c>
      <c r="M214" s="70">
        <f>ROUNDUP((K214),0)</f>
        <v>148917</v>
      </c>
      <c r="N214" s="71" t="s">
        <v>37</v>
      </c>
      <c r="O214" s="70">
        <f t="shared" si="111"/>
        <v>148920</v>
      </c>
      <c r="P214" s="67" t="s">
        <v>332</v>
      </c>
      <c r="Q214" s="72"/>
      <c r="R214" s="72"/>
      <c r="S214" s="65"/>
      <c r="T214" s="386"/>
      <c r="U214" s="386"/>
      <c r="V214" s="386"/>
      <c r="W214" s="327" t="str">
        <f>""&amp;TEXT(G214,"0,0")&amp;" ед. х "&amp;TEXT(ROUND((K214/G214),2),"0,00")&amp;" руб. = "&amp;TEXT(ROUND((G214*(ROUND((K214/G214),2))),2),"0 000,00")&amp;" руб. = "&amp;TEXT(O214,"0 000,00")&amp;" руб."</f>
        <v>213,0 ед. х 699,14 руб. = 148 916,82 руб. = 148 920,00 руб.</v>
      </c>
    </row>
    <row r="215" spans="1:23" ht="21" customHeight="1" x14ac:dyDescent="0.25">
      <c r="A215" s="389"/>
      <c r="B215" s="392"/>
      <c r="C215" s="64"/>
      <c r="D215" s="395"/>
      <c r="E215" s="395"/>
      <c r="F215" s="68" t="str">
        <f>F15</f>
        <v>норматив на 2025 год :</v>
      </c>
      <c r="G215" s="328">
        <f>G213</f>
        <v>213</v>
      </c>
      <c r="H215" s="67" t="str">
        <f>H214</f>
        <v>ед. х средняя цена с индексом потребительских цен</v>
      </c>
      <c r="I215" s="278">
        <f>I214*1.0457</f>
        <v>731.08738208529996</v>
      </c>
      <c r="J215" s="67" t="s">
        <v>41</v>
      </c>
      <c r="K215" s="328">
        <f t="shared" si="110"/>
        <v>155721.6123841689</v>
      </c>
      <c r="L215" s="67" t="s">
        <v>41</v>
      </c>
      <c r="M215" s="70">
        <f t="shared" ref="M215:M216" si="112">ROUNDUP((K215),0)</f>
        <v>155722</v>
      </c>
      <c r="N215" s="71" t="s">
        <v>37</v>
      </c>
      <c r="O215" s="70">
        <f t="shared" si="111"/>
        <v>155730</v>
      </c>
      <c r="P215" s="67" t="s">
        <v>332</v>
      </c>
      <c r="Q215" s="72"/>
      <c r="R215" s="72"/>
      <c r="S215" s="65"/>
      <c r="T215" s="386"/>
      <c r="U215" s="386"/>
      <c r="V215" s="386"/>
      <c r="W215" s="327" t="str">
        <f>""&amp;TEXT(G215,"0,0")&amp;" ед. х "&amp;TEXT(ROUND((K215/G215),2),"0,00")&amp;" руб. = "&amp;TEXT(ROUND((G215*(ROUND((K215/G215),2))),2),"0 000,00")&amp;" руб. = "&amp;TEXT(O215,"0 000,00")&amp;" руб."</f>
        <v>213,0 ед. х 731,09 руб. = 155 722,17 руб. = 155 730,00 руб.</v>
      </c>
    </row>
    <row r="216" spans="1:23" ht="21" customHeight="1" x14ac:dyDescent="0.25">
      <c r="A216" s="390"/>
      <c r="B216" s="393"/>
      <c r="C216" s="64"/>
      <c r="D216" s="396"/>
      <c r="E216" s="396"/>
      <c r="F216" s="68" t="str">
        <f>F16</f>
        <v>норматив на 2026 год :</v>
      </c>
      <c r="G216" s="328">
        <f>G213</f>
        <v>213</v>
      </c>
      <c r="H216" s="67" t="str">
        <f>H214</f>
        <v>ед. х средняя цена с индексом потребительских цен</v>
      </c>
      <c r="I216" s="278">
        <f>I215*1.0457</f>
        <v>764.49807544659825</v>
      </c>
      <c r="J216" s="67" t="s">
        <v>41</v>
      </c>
      <c r="K216" s="328">
        <f t="shared" si="110"/>
        <v>162838.09007012541</v>
      </c>
      <c r="L216" s="67" t="s">
        <v>41</v>
      </c>
      <c r="M216" s="70">
        <f t="shared" si="112"/>
        <v>162839</v>
      </c>
      <c r="N216" s="71" t="s">
        <v>37</v>
      </c>
      <c r="O216" s="70">
        <f t="shared" si="111"/>
        <v>162840</v>
      </c>
      <c r="P216" s="67" t="s">
        <v>332</v>
      </c>
      <c r="Q216" s="72"/>
      <c r="R216" s="72"/>
      <c r="S216" s="65"/>
      <c r="T216" s="387"/>
      <c r="U216" s="387"/>
      <c r="V216" s="387"/>
      <c r="W216" s="327" t="str">
        <f>""&amp;TEXT(G216,"0,0")&amp;" ед. х "&amp;TEXT(ROUND((K216/G216),2),"0,00")&amp;" руб. = "&amp;TEXT(ROUND((G216*(ROUND((K216/G216),2))),2),"0 000,00")&amp;" руб. = "&amp;TEXT(O216,"0 000,00")&amp;" руб."</f>
        <v>213,0 ед. х 764,50 руб. = 162 838,50 руб. = 162 840,00 руб.</v>
      </c>
    </row>
    <row r="217" spans="1:23" ht="27.75" customHeight="1" x14ac:dyDescent="0.25">
      <c r="A217" s="481" t="s">
        <v>385</v>
      </c>
      <c r="B217" s="481"/>
      <c r="C217" s="481"/>
      <c r="D217" s="481"/>
      <c r="E217" s="481"/>
      <c r="F217" s="481"/>
      <c r="G217" s="481"/>
      <c r="H217" s="481"/>
      <c r="I217" s="481"/>
      <c r="J217" s="481"/>
      <c r="K217" s="481"/>
      <c r="L217" s="481"/>
      <c r="M217" s="481"/>
      <c r="N217" s="481"/>
      <c r="O217" s="481"/>
      <c r="P217" s="481"/>
      <c r="Q217" s="481"/>
      <c r="R217" s="481"/>
      <c r="S217" s="481"/>
      <c r="T217" s="481"/>
      <c r="U217" s="481"/>
      <c r="V217" s="481"/>
      <c r="W217" s="481"/>
    </row>
    <row r="218" spans="1:23" ht="10.5" customHeight="1" x14ac:dyDescent="0.25">
      <c r="A218" s="101"/>
      <c r="B218" s="256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256"/>
      <c r="U218" s="256"/>
      <c r="V218" s="256"/>
      <c r="W218" s="101"/>
    </row>
    <row r="219" spans="1:23" ht="25.5" customHeight="1" x14ac:dyDescent="0.25">
      <c r="A219" s="102" t="s">
        <v>197</v>
      </c>
      <c r="W219" s="103" t="s">
        <v>196</v>
      </c>
    </row>
    <row r="221" spans="1:23" x14ac:dyDescent="0.25">
      <c r="A221" s="104"/>
    </row>
  </sheetData>
  <autoFilter ref="D8:R196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346">
    <mergeCell ref="A2:W2"/>
    <mergeCell ref="A3:W3"/>
    <mergeCell ref="A4:W4"/>
    <mergeCell ref="A5:W5"/>
    <mergeCell ref="A6:W6"/>
    <mergeCell ref="A8:A9"/>
    <mergeCell ref="B8:B9"/>
    <mergeCell ref="D8:D9"/>
    <mergeCell ref="E8:E9"/>
    <mergeCell ref="F8:R9"/>
    <mergeCell ref="T8:V8"/>
    <mergeCell ref="W8:W9"/>
    <mergeCell ref="F11:S11"/>
    <mergeCell ref="F12:S12"/>
    <mergeCell ref="A13:A16"/>
    <mergeCell ref="B13:B16"/>
    <mergeCell ref="D13:D16"/>
    <mergeCell ref="E13:E16"/>
    <mergeCell ref="F13:R13"/>
    <mergeCell ref="T13:T16"/>
    <mergeCell ref="U13:U16"/>
    <mergeCell ref="V13:V16"/>
    <mergeCell ref="A17:A23"/>
    <mergeCell ref="B17:B23"/>
    <mergeCell ref="D17:D23"/>
    <mergeCell ref="E17:E23"/>
    <mergeCell ref="F17:R17"/>
    <mergeCell ref="T17:T23"/>
    <mergeCell ref="U17:U23"/>
    <mergeCell ref="V17:V23"/>
    <mergeCell ref="W18:W19"/>
    <mergeCell ref="W20:W21"/>
    <mergeCell ref="W22:W23"/>
    <mergeCell ref="F24:S24"/>
    <mergeCell ref="F25:S25"/>
    <mergeCell ref="A26:A30"/>
    <mergeCell ref="B26:B30"/>
    <mergeCell ref="D26:D30"/>
    <mergeCell ref="E26:E30"/>
    <mergeCell ref="F26:R26"/>
    <mergeCell ref="T26:T30"/>
    <mergeCell ref="U26:U30"/>
    <mergeCell ref="V26:V30"/>
    <mergeCell ref="A31:A35"/>
    <mergeCell ref="B31:B35"/>
    <mergeCell ref="D31:D35"/>
    <mergeCell ref="E31:E35"/>
    <mergeCell ref="F31:R31"/>
    <mergeCell ref="T31:T35"/>
    <mergeCell ref="U31:U35"/>
    <mergeCell ref="V31:V35"/>
    <mergeCell ref="A36:A40"/>
    <mergeCell ref="B36:B40"/>
    <mergeCell ref="D36:D40"/>
    <mergeCell ref="E36:E40"/>
    <mergeCell ref="F36:R36"/>
    <mergeCell ref="T36:T40"/>
    <mergeCell ref="U36:U40"/>
    <mergeCell ref="V36:V40"/>
    <mergeCell ref="U41:U45"/>
    <mergeCell ref="V41:V45"/>
    <mergeCell ref="A46:A50"/>
    <mergeCell ref="B46:B50"/>
    <mergeCell ref="D46:D50"/>
    <mergeCell ref="E46:E50"/>
    <mergeCell ref="F46:R46"/>
    <mergeCell ref="T46:T50"/>
    <mergeCell ref="U46:U50"/>
    <mergeCell ref="V46:V50"/>
    <mergeCell ref="A41:A45"/>
    <mergeCell ref="B41:B45"/>
    <mergeCell ref="D41:D45"/>
    <mergeCell ref="E41:E45"/>
    <mergeCell ref="F41:R41"/>
    <mergeCell ref="T41:T45"/>
    <mergeCell ref="U51:U55"/>
    <mergeCell ref="V51:V55"/>
    <mergeCell ref="A56:A60"/>
    <mergeCell ref="B56:B60"/>
    <mergeCell ref="D56:D60"/>
    <mergeCell ref="E56:E60"/>
    <mergeCell ref="F56:R56"/>
    <mergeCell ref="T56:T60"/>
    <mergeCell ref="U56:U60"/>
    <mergeCell ref="V56:V60"/>
    <mergeCell ref="A51:A55"/>
    <mergeCell ref="B51:B55"/>
    <mergeCell ref="D51:D55"/>
    <mergeCell ref="E51:E55"/>
    <mergeCell ref="F51:R51"/>
    <mergeCell ref="T51:T55"/>
    <mergeCell ref="U61:U65"/>
    <mergeCell ref="V61:V65"/>
    <mergeCell ref="A66:A70"/>
    <mergeCell ref="B66:B70"/>
    <mergeCell ref="D66:D70"/>
    <mergeCell ref="E66:E70"/>
    <mergeCell ref="F66:R66"/>
    <mergeCell ref="T66:T70"/>
    <mergeCell ref="U66:U70"/>
    <mergeCell ref="V66:V70"/>
    <mergeCell ref="A61:A65"/>
    <mergeCell ref="B61:B65"/>
    <mergeCell ref="D61:D65"/>
    <mergeCell ref="E61:E65"/>
    <mergeCell ref="F61:R61"/>
    <mergeCell ref="T61:T65"/>
    <mergeCell ref="F81:S81"/>
    <mergeCell ref="A82:A85"/>
    <mergeCell ref="B82:B85"/>
    <mergeCell ref="D82:D85"/>
    <mergeCell ref="E82:E85"/>
    <mergeCell ref="F82:R82"/>
    <mergeCell ref="U71:U75"/>
    <mergeCell ref="V71:V75"/>
    <mergeCell ref="A76:A80"/>
    <mergeCell ref="B76:B80"/>
    <mergeCell ref="D76:D80"/>
    <mergeCell ref="E76:E80"/>
    <mergeCell ref="F76:R76"/>
    <mergeCell ref="T76:T80"/>
    <mergeCell ref="U76:U80"/>
    <mergeCell ref="V76:V80"/>
    <mergeCell ref="A71:A75"/>
    <mergeCell ref="B71:B75"/>
    <mergeCell ref="D71:D75"/>
    <mergeCell ref="E71:E75"/>
    <mergeCell ref="F71:R71"/>
    <mergeCell ref="T71:T75"/>
    <mergeCell ref="T82:T85"/>
    <mergeCell ref="U82:U85"/>
    <mergeCell ref="V82:V85"/>
    <mergeCell ref="A86:A90"/>
    <mergeCell ref="B86:B90"/>
    <mergeCell ref="D86:D90"/>
    <mergeCell ref="E86:E90"/>
    <mergeCell ref="F86:R86"/>
    <mergeCell ref="T86:T90"/>
    <mergeCell ref="U86:U90"/>
    <mergeCell ref="V86:V90"/>
    <mergeCell ref="A91:A95"/>
    <mergeCell ref="B91:B95"/>
    <mergeCell ref="D91:D95"/>
    <mergeCell ref="E91:E95"/>
    <mergeCell ref="F91:R91"/>
    <mergeCell ref="T91:T95"/>
    <mergeCell ref="U91:U95"/>
    <mergeCell ref="V91:V95"/>
    <mergeCell ref="F106:S106"/>
    <mergeCell ref="A107:A110"/>
    <mergeCell ref="B107:B110"/>
    <mergeCell ref="D107:D110"/>
    <mergeCell ref="E107:E110"/>
    <mergeCell ref="F107:R107"/>
    <mergeCell ref="U96:U100"/>
    <mergeCell ref="V96:V100"/>
    <mergeCell ref="A101:A105"/>
    <mergeCell ref="B101:B105"/>
    <mergeCell ref="D101:D105"/>
    <mergeCell ref="E101:E105"/>
    <mergeCell ref="F101:R101"/>
    <mergeCell ref="T101:T105"/>
    <mergeCell ref="U101:U105"/>
    <mergeCell ref="V101:V105"/>
    <mergeCell ref="A96:A100"/>
    <mergeCell ref="B96:B100"/>
    <mergeCell ref="D96:D100"/>
    <mergeCell ref="E96:E100"/>
    <mergeCell ref="F96:R96"/>
    <mergeCell ref="T96:T100"/>
    <mergeCell ref="T107:T110"/>
    <mergeCell ref="U107:U110"/>
    <mergeCell ref="V107:V110"/>
    <mergeCell ref="A111:A115"/>
    <mergeCell ref="B111:B115"/>
    <mergeCell ref="D111:D115"/>
    <mergeCell ref="E111:E115"/>
    <mergeCell ref="F111:R111"/>
    <mergeCell ref="T111:T115"/>
    <mergeCell ref="U111:U115"/>
    <mergeCell ref="V111:V115"/>
    <mergeCell ref="A116:A120"/>
    <mergeCell ref="B116:B120"/>
    <mergeCell ref="D116:D120"/>
    <mergeCell ref="E116:E120"/>
    <mergeCell ref="F116:R116"/>
    <mergeCell ref="T116:T120"/>
    <mergeCell ref="U116:U120"/>
    <mergeCell ref="V116:V120"/>
    <mergeCell ref="A127:A131"/>
    <mergeCell ref="B127:B131"/>
    <mergeCell ref="D127:D131"/>
    <mergeCell ref="E127:E131"/>
    <mergeCell ref="F127:R127"/>
    <mergeCell ref="T127:T131"/>
    <mergeCell ref="U127:U131"/>
    <mergeCell ref="A121:A125"/>
    <mergeCell ref="B121:B125"/>
    <mergeCell ref="D121:D125"/>
    <mergeCell ref="E121:E125"/>
    <mergeCell ref="F121:R121"/>
    <mergeCell ref="T121:T125"/>
    <mergeCell ref="T132:T135"/>
    <mergeCell ref="U132:U135"/>
    <mergeCell ref="V132:V135"/>
    <mergeCell ref="T136:T140"/>
    <mergeCell ref="U136:U140"/>
    <mergeCell ref="V136:V140"/>
    <mergeCell ref="U121:U125"/>
    <mergeCell ref="V121:V125"/>
    <mergeCell ref="F126:S126"/>
    <mergeCell ref="V127:V131"/>
    <mergeCell ref="A136:A140"/>
    <mergeCell ref="B136:B140"/>
    <mergeCell ref="D136:D140"/>
    <mergeCell ref="E136:E140"/>
    <mergeCell ref="F136:R136"/>
    <mergeCell ref="S136:S140"/>
    <mergeCell ref="A132:A135"/>
    <mergeCell ref="B132:B135"/>
    <mergeCell ref="D132:D135"/>
    <mergeCell ref="E132:E135"/>
    <mergeCell ref="F132:R132"/>
    <mergeCell ref="U141:U145"/>
    <mergeCell ref="V141:V145"/>
    <mergeCell ref="A146:A150"/>
    <mergeCell ref="B146:B150"/>
    <mergeCell ref="D146:D150"/>
    <mergeCell ref="E146:E150"/>
    <mergeCell ref="F146:R146"/>
    <mergeCell ref="T146:T150"/>
    <mergeCell ref="U146:U150"/>
    <mergeCell ref="V146:V150"/>
    <mergeCell ref="A141:A145"/>
    <mergeCell ref="B141:B145"/>
    <mergeCell ref="D141:D145"/>
    <mergeCell ref="E141:E145"/>
    <mergeCell ref="F141:R141"/>
    <mergeCell ref="S141:S145"/>
    <mergeCell ref="T141:T145"/>
    <mergeCell ref="U151:U155"/>
    <mergeCell ref="V151:V155"/>
    <mergeCell ref="A156:A160"/>
    <mergeCell ref="B156:B160"/>
    <mergeCell ref="D156:D160"/>
    <mergeCell ref="E156:E160"/>
    <mergeCell ref="F156:R156"/>
    <mergeCell ref="T156:T160"/>
    <mergeCell ref="U156:U160"/>
    <mergeCell ref="V156:V160"/>
    <mergeCell ref="A151:A155"/>
    <mergeCell ref="B151:B155"/>
    <mergeCell ref="D151:D155"/>
    <mergeCell ref="E151:E155"/>
    <mergeCell ref="F151:R151"/>
    <mergeCell ref="T151:T155"/>
    <mergeCell ref="U161:U165"/>
    <mergeCell ref="V161:V165"/>
    <mergeCell ref="A166:A170"/>
    <mergeCell ref="B166:B170"/>
    <mergeCell ref="D166:D170"/>
    <mergeCell ref="E166:E170"/>
    <mergeCell ref="F166:R166"/>
    <mergeCell ref="T166:T170"/>
    <mergeCell ref="U166:U170"/>
    <mergeCell ref="V166:V170"/>
    <mergeCell ref="A161:A165"/>
    <mergeCell ref="B161:B165"/>
    <mergeCell ref="D161:D165"/>
    <mergeCell ref="E161:E165"/>
    <mergeCell ref="F161:R161"/>
    <mergeCell ref="T161:T165"/>
    <mergeCell ref="F181:S181"/>
    <mergeCell ref="A182:A186"/>
    <mergeCell ref="B182:B186"/>
    <mergeCell ref="D182:D186"/>
    <mergeCell ref="E182:E186"/>
    <mergeCell ref="F182:R182"/>
    <mergeCell ref="U171:U175"/>
    <mergeCell ref="V171:V175"/>
    <mergeCell ref="A176:A180"/>
    <mergeCell ref="B176:B180"/>
    <mergeCell ref="D176:D180"/>
    <mergeCell ref="E176:E180"/>
    <mergeCell ref="F176:R176"/>
    <mergeCell ref="T176:T180"/>
    <mergeCell ref="U176:U180"/>
    <mergeCell ref="V176:V180"/>
    <mergeCell ref="A171:A175"/>
    <mergeCell ref="B171:B175"/>
    <mergeCell ref="D171:D175"/>
    <mergeCell ref="E171:E175"/>
    <mergeCell ref="F171:R171"/>
    <mergeCell ref="T171:T175"/>
    <mergeCell ref="T182:T186"/>
    <mergeCell ref="U182:U186"/>
    <mergeCell ref="V182:V186"/>
    <mergeCell ref="A187:A191"/>
    <mergeCell ref="B187:B191"/>
    <mergeCell ref="D187:D191"/>
    <mergeCell ref="E187:E191"/>
    <mergeCell ref="F187:R187"/>
    <mergeCell ref="T187:T191"/>
    <mergeCell ref="U187:U191"/>
    <mergeCell ref="V187:V191"/>
    <mergeCell ref="A192:A196"/>
    <mergeCell ref="B192:B196"/>
    <mergeCell ref="D192:D196"/>
    <mergeCell ref="E192:E196"/>
    <mergeCell ref="F192:R192"/>
    <mergeCell ref="T192:T196"/>
    <mergeCell ref="U192:U196"/>
    <mergeCell ref="V192:V196"/>
    <mergeCell ref="U197:U201"/>
    <mergeCell ref="V197:V201"/>
    <mergeCell ref="A202:A206"/>
    <mergeCell ref="B202:B206"/>
    <mergeCell ref="D202:D206"/>
    <mergeCell ref="E202:E206"/>
    <mergeCell ref="F202:R202"/>
    <mergeCell ref="T202:T206"/>
    <mergeCell ref="U202:U206"/>
    <mergeCell ref="V202:V206"/>
    <mergeCell ref="A197:A201"/>
    <mergeCell ref="B197:B201"/>
    <mergeCell ref="D197:D201"/>
    <mergeCell ref="E197:E201"/>
    <mergeCell ref="F197:R197"/>
    <mergeCell ref="T197:T201"/>
    <mergeCell ref="A217:W217"/>
    <mergeCell ref="U207:U211"/>
    <mergeCell ref="V207:V211"/>
    <mergeCell ref="A212:A216"/>
    <mergeCell ref="B212:B216"/>
    <mergeCell ref="D212:D216"/>
    <mergeCell ref="E212:E216"/>
    <mergeCell ref="F212:R212"/>
    <mergeCell ref="T212:T216"/>
    <mergeCell ref="U212:U216"/>
    <mergeCell ref="V212:V216"/>
    <mergeCell ref="A207:A211"/>
    <mergeCell ref="B207:B211"/>
    <mergeCell ref="D207:D211"/>
    <mergeCell ref="E207:E211"/>
    <mergeCell ref="F207:R207"/>
    <mergeCell ref="T207:T211"/>
  </mergeCells>
  <pageMargins left="0.55118110236220474" right="0.39370078740157483" top="0.6692913385826772" bottom="0.35433070866141736" header="0.31496062992125984" footer="0.19685039370078741"/>
  <pageSetup paperSize="9" scale="46" fitToHeight="14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X221"/>
  <sheetViews>
    <sheetView zoomScale="70" zoomScaleNormal="70" zoomScaleSheetLayoutView="70" workbookViewId="0">
      <pane xSplit="2" ySplit="10" topLeftCell="C209" activePane="bottomRight" state="frozen"/>
      <selection pane="topRight" activeCell="C1" sqref="C1"/>
      <selection pane="bottomLeft" activeCell="A11" sqref="A11"/>
      <selection pane="bottomRight" activeCell="I120" sqref="I120"/>
    </sheetView>
  </sheetViews>
  <sheetFormatPr defaultColWidth="9.140625" defaultRowHeight="18.75" outlineLevelRow="1" outlineLevelCol="1" x14ac:dyDescent="0.25"/>
  <cols>
    <col min="1" max="1" width="9.5703125" style="55" customWidth="1"/>
    <col min="2" max="2" width="60.42578125" style="154" customWidth="1"/>
    <col min="3" max="3" width="0.28515625" style="55" customWidth="1" outlineLevel="1" collapsed="1"/>
    <col min="4" max="4" width="9" style="55" customWidth="1" outlineLevel="1"/>
    <col min="5" max="5" width="9" style="55" customWidth="1" outlineLevel="1" collapsed="1"/>
    <col min="6" max="6" width="29" style="55" customWidth="1" outlineLevel="1"/>
    <col min="7" max="7" width="13.5703125" style="55" customWidth="1" outlineLevel="1"/>
    <col min="8" max="8" width="32.85546875" style="55" customWidth="1" outlineLevel="1"/>
    <col min="9" max="9" width="16.7109375" style="55" customWidth="1" outlineLevel="1"/>
    <col min="10" max="10" width="29.85546875" style="55" customWidth="1" outlineLevel="1"/>
    <col min="11" max="11" width="17.140625" style="55" customWidth="1" outlineLevel="1"/>
    <col min="12" max="12" width="13.140625" style="55" customWidth="1" outlineLevel="1"/>
    <col min="13" max="13" width="18" style="55" customWidth="1" outlineLevel="1"/>
    <col min="14" max="14" width="26.7109375" style="55" customWidth="1" outlineLevel="1"/>
    <col min="15" max="15" width="24.85546875" style="55" customWidth="1" outlineLevel="1"/>
    <col min="16" max="16" width="19.7109375" style="55" customWidth="1" outlineLevel="1"/>
    <col min="17" max="17" width="14" style="55" customWidth="1" outlineLevel="1"/>
    <col min="18" max="18" width="9.85546875" style="55" customWidth="1" outlineLevel="1"/>
    <col min="19" max="19" width="14.42578125" style="55" hidden="1" customWidth="1" collapsed="1"/>
    <col min="20" max="20" width="20.5703125" style="154" customWidth="1"/>
    <col min="21" max="21" width="19.42578125" style="154" customWidth="1"/>
    <col min="22" max="22" width="20.7109375" style="154" customWidth="1"/>
    <col min="23" max="23" width="150.42578125" style="55" customWidth="1" collapsed="1"/>
    <col min="24" max="24" width="9.85546875" style="55" customWidth="1"/>
    <col min="25" max="25" width="14.140625" style="55" customWidth="1"/>
    <col min="26" max="26" width="15.42578125" style="55" customWidth="1"/>
    <col min="27" max="16384" width="9.140625" style="55"/>
  </cols>
  <sheetData>
    <row r="1" spans="1:23" x14ac:dyDescent="0.25">
      <c r="A1" s="59"/>
    </row>
    <row r="2" spans="1:23" ht="15" x14ac:dyDescent="0.25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</row>
    <row r="3" spans="1:23" ht="15" x14ac:dyDescent="0.25">
      <c r="A3" s="452" t="s">
        <v>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</row>
    <row r="4" spans="1:23" ht="15" x14ac:dyDescent="0.25">
      <c r="A4" s="452" t="s">
        <v>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</row>
    <row r="5" spans="1:23" ht="15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</row>
    <row r="6" spans="1:23" ht="15" x14ac:dyDescent="0.25">
      <c r="A6" s="450" t="s">
        <v>239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</row>
    <row r="7" spans="1:23" x14ac:dyDescent="0.25">
      <c r="A7" s="59"/>
    </row>
    <row r="8" spans="1:23" ht="40.5" customHeight="1" x14ac:dyDescent="0.25">
      <c r="A8" s="383" t="s">
        <v>24</v>
      </c>
      <c r="B8" s="448" t="s">
        <v>4</v>
      </c>
      <c r="C8" s="271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271"/>
      <c r="T8" s="448" t="s">
        <v>23</v>
      </c>
      <c r="U8" s="448"/>
      <c r="V8" s="448"/>
      <c r="W8" s="448" t="s">
        <v>120</v>
      </c>
    </row>
    <row r="9" spans="1:23" ht="30.75" customHeight="1" x14ac:dyDescent="0.25">
      <c r="A9" s="383"/>
      <c r="B9" s="448"/>
      <c r="C9" s="271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271"/>
      <c r="T9" s="249">
        <v>2023</v>
      </c>
      <c r="U9" s="249">
        <v>2024</v>
      </c>
      <c r="V9" s="249">
        <v>2025</v>
      </c>
      <c r="W9" s="448"/>
    </row>
    <row r="10" spans="1:23" ht="21.75" customHeight="1" x14ac:dyDescent="0.25">
      <c r="A10" s="271">
        <v>1</v>
      </c>
      <c r="B10" s="273">
        <v>2</v>
      </c>
      <c r="C10" s="271"/>
      <c r="D10" s="271"/>
      <c r="E10" s="271"/>
      <c r="F10" s="271"/>
      <c r="G10" s="271"/>
      <c r="H10" s="271"/>
      <c r="I10" s="271"/>
      <c r="J10" s="271"/>
      <c r="K10" s="271"/>
      <c r="L10" s="271"/>
      <c r="M10" s="271"/>
      <c r="N10" s="271"/>
      <c r="O10" s="271"/>
      <c r="P10" s="271"/>
      <c r="Q10" s="271"/>
      <c r="R10" s="271"/>
      <c r="S10" s="271"/>
      <c r="T10" s="273">
        <v>3</v>
      </c>
      <c r="U10" s="273">
        <v>4</v>
      </c>
      <c r="V10" s="273">
        <v>5</v>
      </c>
      <c r="W10" s="61">
        <v>6</v>
      </c>
    </row>
    <row r="11" spans="1:23" ht="82.5" customHeight="1" x14ac:dyDescent="0.25">
      <c r="A11" s="309">
        <v>1</v>
      </c>
      <c r="B11" s="257" t="s">
        <v>86</v>
      </c>
      <c r="C11" s="63"/>
      <c r="D11" s="276" t="s">
        <v>35</v>
      </c>
      <c r="E11" s="276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251">
        <f>T12</f>
        <v>2211660</v>
      </c>
      <c r="U11" s="251">
        <f t="shared" ref="U11:V11" si="0">U12</f>
        <v>2319350</v>
      </c>
      <c r="V11" s="251">
        <f t="shared" si="0"/>
        <v>2425350</v>
      </c>
      <c r="W11" s="274" t="str">
        <f>"Нормативные "&amp;TEXT(B11,"0")&amp;" включают в себя:
нормативные "&amp;TEXT(B12,"0")&amp;""</f>
        <v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v>
      </c>
    </row>
    <row r="12" spans="1:23" ht="73.5" customHeight="1" x14ac:dyDescent="0.25">
      <c r="A12" s="306" t="s">
        <v>5</v>
      </c>
      <c r="B12" s="272" t="s">
        <v>92</v>
      </c>
      <c r="C12" s="52"/>
      <c r="D12" s="276" t="s">
        <v>35</v>
      </c>
      <c r="E12" s="276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252">
        <f>SUM(T13,T17)</f>
        <v>2211660</v>
      </c>
      <c r="U12" s="252">
        <f t="shared" ref="U12:V12" si="1">SUM(U13,U17)</f>
        <v>2319350</v>
      </c>
      <c r="V12" s="252">
        <f t="shared" si="1"/>
        <v>2425350</v>
      </c>
      <c r="W12" s="274" t="str">
        <f>"Нормативные "&amp;TEXT(B12,"0")&amp;" включают в себя:
нормативные "&amp;TEXT(B13,"0")&amp;";
нормативные "&amp;TEXT(B17,"0")&amp;""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13" spans="1:23" ht="100.5" customHeight="1" x14ac:dyDescent="0.25">
      <c r="A13" s="529" t="s">
        <v>6</v>
      </c>
      <c r="B13" s="376" t="s">
        <v>91</v>
      </c>
      <c r="C13" s="52"/>
      <c r="D13" s="378">
        <v>346</v>
      </c>
      <c r="E13" s="378">
        <v>242</v>
      </c>
      <c r="F13" s="380" t="s">
        <v>241</v>
      </c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65"/>
      <c r="T13" s="485">
        <f>M14</f>
        <v>134400</v>
      </c>
      <c r="U13" s="485">
        <f>M15</f>
        <v>140940</v>
      </c>
      <c r="V13" s="485">
        <f>M16</f>
        <v>147380</v>
      </c>
      <c r="W13" s="274" t="s">
        <v>39</v>
      </c>
    </row>
    <row r="14" spans="1:23" ht="27.75" customHeight="1" x14ac:dyDescent="0.25">
      <c r="A14" s="529"/>
      <c r="B14" s="377"/>
      <c r="C14" s="52"/>
      <c r="D14" s="379"/>
      <c r="E14" s="379"/>
      <c r="F14" s="136" t="s">
        <v>193</v>
      </c>
      <c r="G14" s="70">
        <v>1</v>
      </c>
      <c r="H14" s="67" t="s">
        <v>253</v>
      </c>
      <c r="I14" s="275">
        <f>12418300*1.0822</f>
        <v>13439084.26</v>
      </c>
      <c r="J14" s="67" t="s">
        <v>41</v>
      </c>
      <c r="K14" s="275">
        <f>ROUND((G14%*I14),2)</f>
        <v>134390.84</v>
      </c>
      <c r="L14" s="67" t="s">
        <v>41</v>
      </c>
      <c r="M14" s="70">
        <f>ROUNDUP((K14),-1)</f>
        <v>134400</v>
      </c>
      <c r="N14" s="71" t="s">
        <v>37</v>
      </c>
      <c r="O14" s="61"/>
      <c r="P14" s="61"/>
      <c r="Q14" s="61"/>
      <c r="R14" s="61"/>
      <c r="S14" s="65"/>
      <c r="T14" s="485"/>
      <c r="U14" s="485"/>
      <c r="V14" s="485"/>
      <c r="W14" s="274" t="str">
        <f>"норматив "&amp;TEXT(G14,"0,0")&amp;" % х "&amp;TEXT(I14,"0 000,00")&amp;" руб. = "&amp;TEXT(K14,"0 000,00")&amp;" руб. = "&amp;TEXT(M14,"0 000,00")&amp;" руб."</f>
        <v>норматив 1,0 % х 13 439 084,26 руб. = 134 390,84 руб. = 134 400,00 руб.</v>
      </c>
    </row>
    <row r="15" spans="1:23" ht="24" customHeight="1" x14ac:dyDescent="0.25">
      <c r="A15" s="529"/>
      <c r="B15" s="377"/>
      <c r="C15" s="52"/>
      <c r="D15" s="379"/>
      <c r="E15" s="379"/>
      <c r="F15" s="136" t="s">
        <v>226</v>
      </c>
      <c r="G15" s="70">
        <v>1</v>
      </c>
      <c r="H15" s="67" t="s">
        <v>253</v>
      </c>
      <c r="I15" s="275">
        <f>I14*1.0487</f>
        <v>14093567.663462</v>
      </c>
      <c r="J15" s="67" t="s">
        <v>41</v>
      </c>
      <c r="K15" s="275">
        <f>ROUND((G15%*I15),2)</f>
        <v>140935.67999999999</v>
      </c>
      <c r="L15" s="67" t="s">
        <v>41</v>
      </c>
      <c r="M15" s="70">
        <f>ROUNDUP((K15),-1)</f>
        <v>140940</v>
      </c>
      <c r="N15" s="71" t="s">
        <v>37</v>
      </c>
      <c r="O15" s="61"/>
      <c r="P15" s="61"/>
      <c r="Q15" s="61"/>
      <c r="R15" s="61"/>
      <c r="S15" s="65"/>
      <c r="T15" s="485"/>
      <c r="U15" s="485"/>
      <c r="V15" s="485"/>
      <c r="W15" s="274" t="str">
        <f>"норматив "&amp;TEXT(G15,"0,0")&amp;" % х "&amp;TEXT(I15,"0 000,00")&amp;" руб. = "&amp;TEXT(K15,"0 000,00")&amp;" руб. = "&amp;TEXT(M15,"0 000,00")&amp;" руб."</f>
        <v>норматив 1,0 % х 14 093 567,66 руб. = 140 935,68 руб. = 140 940,00 руб.</v>
      </c>
    </row>
    <row r="16" spans="1:23" ht="27" customHeight="1" x14ac:dyDescent="0.25">
      <c r="A16" s="529"/>
      <c r="B16" s="377"/>
      <c r="C16" s="52"/>
      <c r="D16" s="379"/>
      <c r="E16" s="379"/>
      <c r="F16" s="136" t="s">
        <v>240</v>
      </c>
      <c r="G16" s="70">
        <v>1</v>
      </c>
      <c r="H16" s="67" t="s">
        <v>253</v>
      </c>
      <c r="I16" s="275">
        <f>I15*1.0457</f>
        <v>14737643.705682214</v>
      </c>
      <c r="J16" s="67" t="s">
        <v>41</v>
      </c>
      <c r="K16" s="275">
        <f>ROUND((G16%*I16),2)</f>
        <v>147376.44</v>
      </c>
      <c r="L16" s="67" t="s">
        <v>41</v>
      </c>
      <c r="M16" s="70">
        <f>ROUNDUP((K16),-1)</f>
        <v>147380</v>
      </c>
      <c r="N16" s="71" t="s">
        <v>37</v>
      </c>
      <c r="O16" s="61"/>
      <c r="P16" s="61"/>
      <c r="Q16" s="61"/>
      <c r="R16" s="61"/>
      <c r="S16" s="65"/>
      <c r="T16" s="485"/>
      <c r="U16" s="485"/>
      <c r="V16" s="485"/>
      <c r="W16" s="274" t="str">
        <f>"норматив "&amp;TEXT(G16,"0,0")&amp;" % х "&amp;TEXT(I16,"0 000,00")&amp;" руб. = "&amp;TEXT(K16,"0 000,00")&amp;" руб. = "&amp;TEXT(M16,"0 000,00")&amp;" руб."</f>
        <v>норматив 1,0 % х 14 737 643,71 руб. = 147 376,44 руб. = 147 380,00 руб.</v>
      </c>
    </row>
    <row r="17" spans="1:23" ht="162.75" customHeight="1" x14ac:dyDescent="0.25">
      <c r="A17" s="529" t="s">
        <v>225</v>
      </c>
      <c r="B17" s="376" t="s">
        <v>123</v>
      </c>
      <c r="C17" s="64"/>
      <c r="D17" s="378">
        <v>346</v>
      </c>
      <c r="E17" s="378">
        <v>242</v>
      </c>
      <c r="F17" s="380" t="s">
        <v>243</v>
      </c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65"/>
      <c r="T17" s="485">
        <f>M19</f>
        <v>2077260</v>
      </c>
      <c r="U17" s="485">
        <f>M21</f>
        <v>2178410</v>
      </c>
      <c r="V17" s="485">
        <f>M23</f>
        <v>2277970</v>
      </c>
      <c r="W17" s="274" t="s">
        <v>46</v>
      </c>
    </row>
    <row r="18" spans="1:23" ht="15" x14ac:dyDescent="0.25">
      <c r="A18" s="529"/>
      <c r="B18" s="377"/>
      <c r="C18" s="64"/>
      <c r="D18" s="379"/>
      <c r="E18" s="379"/>
      <c r="F18" s="68" t="s">
        <v>199</v>
      </c>
      <c r="G18" s="275">
        <v>32508</v>
      </c>
      <c r="H18" s="67" t="s">
        <v>42</v>
      </c>
      <c r="I18" s="275">
        <v>213</v>
      </c>
      <c r="J18" s="67" t="s">
        <v>45</v>
      </c>
      <c r="K18" s="275">
        <v>5</v>
      </c>
      <c r="L18" s="67" t="s">
        <v>43</v>
      </c>
      <c r="M18" s="275">
        <v>0</v>
      </c>
      <c r="N18" s="67" t="s">
        <v>44</v>
      </c>
      <c r="O18" s="275">
        <f>ROUND((G18*(I18/K18+M18)),2)</f>
        <v>1384840.8</v>
      </c>
      <c r="P18" s="67" t="s">
        <v>37</v>
      </c>
      <c r="Q18" s="67"/>
      <c r="R18" s="65"/>
      <c r="S18" s="65"/>
      <c r="T18" s="485"/>
      <c r="U18" s="485"/>
      <c r="V18" s="485"/>
      <c r="W18" s="459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32 508,00 руб. х (213,00 шт.ед. : срок 5 лет + 0,00 шт.ед.) = 1 384 840,80 руб.) = 2 077 261,20 руб. = 2 077 260,00 руб.</v>
      </c>
    </row>
    <row r="19" spans="1:23" ht="15" x14ac:dyDescent="0.25">
      <c r="A19" s="529"/>
      <c r="B19" s="377"/>
      <c r="C19" s="64"/>
      <c r="D19" s="379"/>
      <c r="E19" s="379"/>
      <c r="F19" s="68" t="str">
        <f>F14</f>
        <v>норматив на 2023 год :</v>
      </c>
      <c r="G19" s="70">
        <v>150</v>
      </c>
      <c r="H19" s="67" t="s">
        <v>40</v>
      </c>
      <c r="I19" s="275">
        <f>O18</f>
        <v>1384840.8</v>
      </c>
      <c r="J19" s="67" t="s">
        <v>41</v>
      </c>
      <c r="K19" s="275">
        <f>ROUND((G19%*I19),2)</f>
        <v>2077261.2</v>
      </c>
      <c r="L19" s="67" t="s">
        <v>41</v>
      </c>
      <c r="M19" s="70">
        <f>ROUNDDOWN((K19),-1)</f>
        <v>2077260</v>
      </c>
      <c r="N19" s="71" t="s">
        <v>37</v>
      </c>
      <c r="O19" s="61"/>
      <c r="P19" s="61"/>
      <c r="Q19" s="61"/>
      <c r="R19" s="61"/>
      <c r="S19" s="65"/>
      <c r="T19" s="485"/>
      <c r="U19" s="485"/>
      <c r="V19" s="485"/>
      <c r="W19" s="460"/>
    </row>
    <row r="20" spans="1:23" ht="15" x14ac:dyDescent="0.25">
      <c r="A20" s="529"/>
      <c r="B20" s="377"/>
      <c r="C20" s="64"/>
      <c r="D20" s="379"/>
      <c r="E20" s="379"/>
      <c r="F20" s="68" t="s">
        <v>229</v>
      </c>
      <c r="G20" s="275">
        <v>34091</v>
      </c>
      <c r="H20" s="67" t="s">
        <v>42</v>
      </c>
      <c r="I20" s="275">
        <v>213</v>
      </c>
      <c r="J20" s="67" t="s">
        <v>45</v>
      </c>
      <c r="K20" s="275">
        <v>5</v>
      </c>
      <c r="L20" s="67" t="s">
        <v>43</v>
      </c>
      <c r="M20" s="275">
        <v>0</v>
      </c>
      <c r="N20" s="67" t="s">
        <v>44</v>
      </c>
      <c r="O20" s="275">
        <f>ROUND((G20*(I20/K20+M20)),2)</f>
        <v>1452276.6</v>
      </c>
      <c r="P20" s="67" t="s">
        <v>37</v>
      </c>
      <c r="Q20" s="67"/>
      <c r="R20" s="65"/>
      <c r="S20" s="65"/>
      <c r="T20" s="485"/>
      <c r="U20" s="485"/>
      <c r="V20" s="485"/>
      <c r="W20" s="459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34 091,00 руб. х (213,00 шт.ед. : срок 5 лет + 0,00 шт.ед.) = 1 452 276,60 руб.) = 2 178 414,90 руб. = 2 178 410,00 руб.</v>
      </c>
    </row>
    <row r="21" spans="1:23" ht="15" x14ac:dyDescent="0.25">
      <c r="A21" s="529"/>
      <c r="B21" s="377"/>
      <c r="C21" s="64"/>
      <c r="D21" s="379"/>
      <c r="E21" s="379"/>
      <c r="F21" s="68" t="str">
        <f>F15</f>
        <v>норматив на 2024 год :</v>
      </c>
      <c r="G21" s="70">
        <v>150</v>
      </c>
      <c r="H21" s="67" t="s">
        <v>40</v>
      </c>
      <c r="I21" s="275">
        <f>O20</f>
        <v>1452276.6</v>
      </c>
      <c r="J21" s="67" t="s">
        <v>41</v>
      </c>
      <c r="K21" s="275">
        <f>ROUND((G21%*I21),2)</f>
        <v>2178414.9</v>
      </c>
      <c r="L21" s="67" t="s">
        <v>41</v>
      </c>
      <c r="M21" s="70">
        <f>ROUNDDOWN((K21),-1)</f>
        <v>2178410</v>
      </c>
      <c r="N21" s="71" t="s">
        <v>37</v>
      </c>
      <c r="O21" s="61"/>
      <c r="P21" s="61"/>
      <c r="Q21" s="61"/>
      <c r="R21" s="61"/>
      <c r="S21" s="65"/>
      <c r="T21" s="530"/>
      <c r="U21" s="530"/>
      <c r="V21" s="530"/>
      <c r="W21" s="460"/>
    </row>
    <row r="22" spans="1:23" ht="15" x14ac:dyDescent="0.25">
      <c r="A22" s="529"/>
      <c r="B22" s="377"/>
      <c r="C22" s="64"/>
      <c r="D22" s="379"/>
      <c r="E22" s="379"/>
      <c r="F22" s="68" t="s">
        <v>242</v>
      </c>
      <c r="G22" s="275">
        <v>35649</v>
      </c>
      <c r="H22" s="67" t="s">
        <v>42</v>
      </c>
      <c r="I22" s="275">
        <v>213</v>
      </c>
      <c r="J22" s="67" t="s">
        <v>45</v>
      </c>
      <c r="K22" s="275">
        <v>5</v>
      </c>
      <c r="L22" s="67" t="s">
        <v>43</v>
      </c>
      <c r="M22" s="275">
        <v>0</v>
      </c>
      <c r="N22" s="67" t="s">
        <v>44</v>
      </c>
      <c r="O22" s="275">
        <f>ROUND((G22*(I22/K22+M22)),2)</f>
        <v>1518647.4</v>
      </c>
      <c r="P22" s="67" t="s">
        <v>37</v>
      </c>
      <c r="Q22" s="67"/>
      <c r="R22" s="65"/>
      <c r="S22" s="61"/>
      <c r="T22" s="530"/>
      <c r="U22" s="530"/>
      <c r="V22" s="530"/>
      <c r="W22" s="459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35 649,00 руб. х (213,00 шт.ед. : срок 5 лет + 0,00 шт.ед.) = 1 518 647,40 руб.) = 2 277 971,10 руб. = 2 277 970,00 руб.</v>
      </c>
    </row>
    <row r="23" spans="1:23" ht="21" customHeight="1" x14ac:dyDescent="0.25">
      <c r="A23" s="529"/>
      <c r="B23" s="377"/>
      <c r="C23" s="52"/>
      <c r="D23" s="379"/>
      <c r="E23" s="379"/>
      <c r="F23" s="68" t="str">
        <f>F16</f>
        <v>норматив на 2025 год :</v>
      </c>
      <c r="G23" s="70">
        <v>150</v>
      </c>
      <c r="H23" s="67" t="s">
        <v>40</v>
      </c>
      <c r="I23" s="275">
        <f>O22</f>
        <v>1518647.4</v>
      </c>
      <c r="J23" s="67" t="s">
        <v>41</v>
      </c>
      <c r="K23" s="129">
        <f>ROUND((G23%*I23),2)</f>
        <v>2277971.1</v>
      </c>
      <c r="L23" s="67" t="s">
        <v>41</v>
      </c>
      <c r="M23" s="70">
        <f>ROUNDDOWN((K23),-1)</f>
        <v>2277970</v>
      </c>
      <c r="N23" s="71" t="s">
        <v>37</v>
      </c>
      <c r="O23" s="61"/>
      <c r="P23" s="61"/>
      <c r="Q23" s="61"/>
      <c r="R23" s="61"/>
      <c r="S23" s="65"/>
      <c r="T23" s="530"/>
      <c r="U23" s="530"/>
      <c r="V23" s="530"/>
      <c r="W23" s="460"/>
    </row>
    <row r="24" spans="1:23" ht="158.25" customHeight="1" x14ac:dyDescent="0.25">
      <c r="A24" s="62">
        <v>2</v>
      </c>
      <c r="B24" s="257" t="s">
        <v>118</v>
      </c>
      <c r="C24" s="63"/>
      <c r="D24" s="248" t="s">
        <v>35</v>
      </c>
      <c r="E24" s="248" t="s">
        <v>35</v>
      </c>
      <c r="F24" s="439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251">
        <f>SUM(T25,T81,T106,T126,T181)</f>
        <v>14636540</v>
      </c>
      <c r="U24" s="251">
        <f t="shared" ref="U24:V24" si="2">SUM(U25,U81,U106,U126,U181)</f>
        <v>15348994</v>
      </c>
      <c r="V24" s="251">
        <f t="shared" si="2"/>
        <v>16055530</v>
      </c>
      <c r="W24" s="307" t="str">
        <f>"Нормативные "&amp;TEXT(B24,"0")&amp;" включают в себя:
нормативные "&amp;TEXT(B25,"0")&amp;";
нормативные "&amp;TEXT(B81,"0")&amp;";
нормативные "&amp;TEXT(B106,"0")&amp;";
нормативные "&amp;TEXT(B126,"0")&amp;";
нормативные "&amp;TEXT(B181,"0")&amp;""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25" spans="1:23" ht="137.25" customHeight="1" x14ac:dyDescent="0.25">
      <c r="A25" s="283" t="s">
        <v>9</v>
      </c>
      <c r="B25" s="272" t="s">
        <v>117</v>
      </c>
      <c r="C25" s="52"/>
      <c r="D25" s="248" t="s">
        <v>35</v>
      </c>
      <c r="E25" s="248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251">
        <f>T26+T31+T36+T41+T46+T51+T56+T61+T66+T71+T76</f>
        <v>529210</v>
      </c>
      <c r="U25" s="251">
        <f>U26+U31+U36+U41+U46+U51+U56+U61+U66+U71+U76</f>
        <v>554990</v>
      </c>
      <c r="V25" s="251">
        <f>V26+V31+V36+V41+V46+V51+V56+V61+V66+V71+V76</f>
        <v>580360</v>
      </c>
      <c r="W25" s="307" t="str">
        <f>"Нормативные "&amp;TEXT(B25,"0")&amp;" включают в себя:
нормативные "&amp;TEXT(B26,"0")&amp;";   нормативные "&amp;TEXT(B31,"0")&amp;";  нормативные "&amp;TEXT(B36,"0")&amp;";  нормативные "&amp;TEXT(B41,"0")&amp;";  нормативные "&amp;TEXT(B46,"0")&amp;";  нормативные "&amp;TEXT(B51,"0")&amp;";  нормативные "&amp;TEXT(B56,"0")&amp;";  нормативные "&amp;TEXT(B61,"0")&amp;";   нормативные "&amp;TEXT(B66,"0")&amp;";  нормативные "&amp;TEXT(B71,"0")&amp;"; нормативные "&amp;TEXT(B76,"0")&amp;""</f>
        <v>Нормативные затраты на содержание имущества включают в себя:
нормативные затраты на плановое техническое обслуживание и ремонт  автомобиля;   нормативные затраты на технический осмотр автомобиля;  нормативные затраты на ремонт автомобиля;  нормативные затраты по  техническому обслуживанию систем кондиционирования;  нормативные затраты по ремонту систем кондиционирования;  нормативные затраты по техническому обслуживанию охранно-тревожной сигнализации;  нормативные затраты по техническому обслуживанию счетчика банкнот;  нормативные затраты по вывозу и утилизации отработанных картриджей;   нормативные затраты по вывозу и утилизации огнетушителей;  нормативные затраты на перезарядку огнетушителей; нормативные затраты на перетяжку мебели</v>
      </c>
    </row>
    <row r="26" spans="1:23" ht="120" customHeight="1" x14ac:dyDescent="0.25">
      <c r="A26" s="526" t="s">
        <v>10</v>
      </c>
      <c r="B26" s="527" t="s">
        <v>370</v>
      </c>
      <c r="C26" s="64"/>
      <c r="D26" s="378">
        <v>225</v>
      </c>
      <c r="E26" s="378">
        <v>244</v>
      </c>
      <c r="F26" s="380" t="s">
        <v>246</v>
      </c>
      <c r="G26" s="380"/>
      <c r="H26" s="380"/>
      <c r="I26" s="380"/>
      <c r="J26" s="380"/>
      <c r="K26" s="380"/>
      <c r="L26" s="380"/>
      <c r="M26" s="380"/>
      <c r="N26" s="380"/>
      <c r="O26" s="380"/>
      <c r="P26" s="380"/>
      <c r="Q26" s="380"/>
      <c r="R26" s="380"/>
      <c r="S26" s="65"/>
      <c r="T26" s="522">
        <f>O28</f>
        <v>16670</v>
      </c>
      <c r="U26" s="522">
        <f>O29</f>
        <v>17480</v>
      </c>
      <c r="V26" s="522">
        <f>O30</f>
        <v>18280</v>
      </c>
      <c r="W26" s="274" t="s">
        <v>83</v>
      </c>
    </row>
    <row r="27" spans="1:23" ht="18" customHeight="1" outlineLevel="1" x14ac:dyDescent="0.25">
      <c r="A27" s="526"/>
      <c r="B27" s="528"/>
      <c r="C27" s="64"/>
      <c r="D27" s="379"/>
      <c r="E27" s="384"/>
      <c r="F27" s="61">
        <v>2022</v>
      </c>
      <c r="G27" s="275">
        <v>1</v>
      </c>
      <c r="H27" s="67" t="s">
        <v>81</v>
      </c>
      <c r="I27" s="275">
        <v>1</v>
      </c>
      <c r="J27" s="67" t="s">
        <v>73</v>
      </c>
      <c r="K27" s="275"/>
      <c r="L27" s="67" t="s">
        <v>41</v>
      </c>
      <c r="M27" s="275">
        <f>ROUND((G27*I27*K27),0)</f>
        <v>0</v>
      </c>
      <c r="N27" s="67" t="s">
        <v>37</v>
      </c>
      <c r="O27" s="67"/>
      <c r="P27" s="67"/>
      <c r="Q27" s="67"/>
      <c r="R27" s="65"/>
      <c r="S27" s="65"/>
      <c r="T27" s="522"/>
      <c r="U27" s="522"/>
      <c r="V27" s="522"/>
    </row>
    <row r="28" spans="1:23" ht="30" customHeight="1" x14ac:dyDescent="0.25">
      <c r="A28" s="526"/>
      <c r="B28" s="528"/>
      <c r="C28" s="64"/>
      <c r="D28" s="379"/>
      <c r="E28" s="384"/>
      <c r="F28" s="68" t="str">
        <f>F14</f>
        <v>норматив на 2023 год :</v>
      </c>
      <c r="G28" s="275">
        <v>1</v>
      </c>
      <c r="H28" s="65" t="s">
        <v>254</v>
      </c>
      <c r="I28" s="275">
        <v>1</v>
      </c>
      <c r="J28" s="67" t="str">
        <f>J27</f>
        <v>раз х средняя цена</v>
      </c>
      <c r="K28" s="129">
        <v>16666.669999999998</v>
      </c>
      <c r="L28" s="67" t="s">
        <v>41</v>
      </c>
      <c r="M28" s="275">
        <f>ROUND((G28*I28*K28),0)</f>
        <v>16667</v>
      </c>
      <c r="N28" s="71" t="s">
        <v>37</v>
      </c>
      <c r="O28" s="70">
        <f>ROUNDUP((M28),-1)</f>
        <v>16670</v>
      </c>
      <c r="P28" s="71" t="s">
        <v>37</v>
      </c>
      <c r="Q28" s="72"/>
      <c r="R28" s="72"/>
      <c r="S28" s="65"/>
      <c r="T28" s="522"/>
      <c r="U28" s="522"/>
      <c r="V28" s="522"/>
      <c r="W28" s="274" t="str">
        <f>""&amp;TEXT(I28,"0,0")&amp;" авт. х "&amp;TEXT(I28,"0,0")&amp;" раз х "&amp;TEXT(ROUND((K28),2),"0 000,00")&amp;" руб. = "&amp;TEXT(ROUND((M28),2),"0 000,00")&amp;" руб. = "&amp;TEXT(O28,"0 000,00")&amp;" руб."</f>
        <v>1,0 авт. х 1,0 раз х 16 666,67 руб. = 16 667,00 руб. = 16 670,00 руб.</v>
      </c>
    </row>
    <row r="29" spans="1:23" ht="30" customHeight="1" x14ac:dyDescent="0.25">
      <c r="A29" s="526"/>
      <c r="B29" s="528"/>
      <c r="C29" s="64"/>
      <c r="D29" s="379"/>
      <c r="E29" s="384"/>
      <c r="F29" s="68" t="str">
        <f>F15</f>
        <v>норматив на 2024 год :</v>
      </c>
      <c r="G29" s="275">
        <v>1</v>
      </c>
      <c r="H29" s="67" t="str">
        <f>H28</f>
        <v xml:space="preserve">авт.  </v>
      </c>
      <c r="I29" s="275">
        <v>1</v>
      </c>
      <c r="J29" s="67" t="str">
        <f>J27</f>
        <v>раз х средняя цена</v>
      </c>
      <c r="K29" s="129">
        <f>K28*1.0487</f>
        <v>17478.336828999996</v>
      </c>
      <c r="L29" s="67" t="s">
        <v>41</v>
      </c>
      <c r="M29" s="275">
        <f>ROUND((G29*I29*K29),0)</f>
        <v>17478</v>
      </c>
      <c r="N29" s="71" t="s">
        <v>37</v>
      </c>
      <c r="O29" s="70">
        <f>ROUNDUP((M29),-1)</f>
        <v>17480</v>
      </c>
      <c r="P29" s="71" t="s">
        <v>37</v>
      </c>
      <c r="Q29" s="72"/>
      <c r="R29" s="72"/>
      <c r="S29" s="72"/>
      <c r="T29" s="522"/>
      <c r="U29" s="522"/>
      <c r="V29" s="522"/>
      <c r="W29" s="274" t="str">
        <f t="shared" ref="W29:W30" si="3">""&amp;TEXT(I29,"0,0")&amp;" авт. х "&amp;TEXT(I29,"0,0")&amp;" раз х "&amp;TEXT(ROUND((K29),2),"0 000,00")&amp;" руб. = "&amp;TEXT(ROUND((M29),2),"0 000,00")&amp;" руб. = "&amp;TEXT(O29,"0 000,00")&amp;" руб."</f>
        <v>1,0 авт. х 1,0 раз х 17 478,34 руб. = 17 478,00 руб. = 17 480,00 руб.</v>
      </c>
    </row>
    <row r="30" spans="1:23" ht="30" customHeight="1" x14ac:dyDescent="0.25">
      <c r="A30" s="526"/>
      <c r="B30" s="528"/>
      <c r="C30" s="64"/>
      <c r="D30" s="379"/>
      <c r="E30" s="384"/>
      <c r="F30" s="68" t="str">
        <f>F16</f>
        <v>норматив на 2025 год :</v>
      </c>
      <c r="G30" s="275">
        <v>1</v>
      </c>
      <c r="H30" s="67" t="str">
        <f>H28</f>
        <v xml:space="preserve">авт.  </v>
      </c>
      <c r="I30" s="275">
        <v>1</v>
      </c>
      <c r="J30" s="67" t="str">
        <f>J27</f>
        <v>раз х средняя цена</v>
      </c>
      <c r="K30" s="129">
        <f>K29*1.0457</f>
        <v>18277.096822085296</v>
      </c>
      <c r="L30" s="67" t="s">
        <v>41</v>
      </c>
      <c r="M30" s="275">
        <f>ROUND((G30*I30*K30),0)</f>
        <v>18277</v>
      </c>
      <c r="N30" s="71" t="s">
        <v>37</v>
      </c>
      <c r="O30" s="70">
        <f>ROUNDUP((M30),-1)</f>
        <v>18280</v>
      </c>
      <c r="P30" s="71" t="s">
        <v>37</v>
      </c>
      <c r="Q30" s="70"/>
      <c r="R30" s="71"/>
      <c r="S30" s="71"/>
      <c r="T30" s="522"/>
      <c r="U30" s="522"/>
      <c r="V30" s="522"/>
      <c r="W30" s="274" t="str">
        <f t="shared" si="3"/>
        <v>1,0 авт. х 1,0 раз х 18 277,10 руб. = 18 277,00 руб. = 18 280,00 руб.</v>
      </c>
    </row>
    <row r="31" spans="1:23" ht="120.75" customHeight="1" x14ac:dyDescent="0.25">
      <c r="A31" s="526" t="s">
        <v>11</v>
      </c>
      <c r="B31" s="376" t="s">
        <v>114</v>
      </c>
      <c r="C31" s="64"/>
      <c r="D31" s="378">
        <v>225</v>
      </c>
      <c r="E31" s="378">
        <v>244</v>
      </c>
      <c r="F31" s="380" t="s">
        <v>245</v>
      </c>
      <c r="G31" s="380"/>
      <c r="H31" s="380"/>
      <c r="I31" s="380"/>
      <c r="J31" s="380"/>
      <c r="K31" s="380"/>
      <c r="L31" s="380"/>
      <c r="M31" s="380"/>
      <c r="N31" s="380"/>
      <c r="O31" s="380"/>
      <c r="P31" s="380"/>
      <c r="Q31" s="380"/>
      <c r="R31" s="380"/>
      <c r="S31" s="65"/>
      <c r="T31" s="485">
        <f>O33</f>
        <v>1320</v>
      </c>
      <c r="U31" s="485">
        <f>O34</f>
        <v>1380</v>
      </c>
      <c r="V31" s="485">
        <f>O35</f>
        <v>1450</v>
      </c>
      <c r="W31" s="274" t="s">
        <v>82</v>
      </c>
    </row>
    <row r="32" spans="1:23" ht="21.75" customHeight="1" outlineLevel="1" x14ac:dyDescent="0.25">
      <c r="A32" s="526"/>
      <c r="B32" s="377"/>
      <c r="C32" s="64"/>
      <c r="D32" s="379"/>
      <c r="E32" s="379"/>
      <c r="F32" s="61">
        <v>2022</v>
      </c>
      <c r="G32" s="275">
        <v>1</v>
      </c>
      <c r="H32" s="67" t="s">
        <v>81</v>
      </c>
      <c r="I32" s="275">
        <v>1</v>
      </c>
      <c r="J32" s="67" t="s">
        <v>255</v>
      </c>
      <c r="K32" s="275">
        <v>1215.02</v>
      </c>
      <c r="L32" s="67" t="s">
        <v>41</v>
      </c>
      <c r="M32" s="275">
        <f>ROUND((G32*I32*K32),2)</f>
        <v>1215.02</v>
      </c>
      <c r="N32" s="67" t="s">
        <v>37</v>
      </c>
      <c r="O32" s="70">
        <f>ROUNDUP((M32),-1)</f>
        <v>1220</v>
      </c>
      <c r="P32" s="67"/>
      <c r="Q32" s="67"/>
      <c r="R32" s="65"/>
      <c r="S32" s="65"/>
      <c r="T32" s="485"/>
      <c r="U32" s="485"/>
      <c r="V32" s="485"/>
    </row>
    <row r="33" spans="1:23" ht="26.25" customHeight="1" x14ac:dyDescent="0.25">
      <c r="A33" s="526"/>
      <c r="B33" s="377"/>
      <c r="C33" s="64"/>
      <c r="D33" s="379"/>
      <c r="E33" s="379"/>
      <c r="F33" s="68" t="str">
        <f>F14</f>
        <v>норматив на 2023 год :</v>
      </c>
      <c r="G33" s="275">
        <v>1</v>
      </c>
      <c r="H33" s="67" t="s">
        <v>81</v>
      </c>
      <c r="I33" s="69">
        <v>1</v>
      </c>
      <c r="J33" s="67" t="str">
        <f>J32</f>
        <v xml:space="preserve">раз х средняя цена </v>
      </c>
      <c r="K33" s="129">
        <f>K32*1.0822</f>
        <v>1314.894644</v>
      </c>
      <c r="L33" s="67" t="s">
        <v>41</v>
      </c>
      <c r="M33" s="275">
        <f>ROUND((G33*I33*K33),0)</f>
        <v>1315</v>
      </c>
      <c r="N33" s="71" t="s">
        <v>37</v>
      </c>
      <c r="O33" s="70">
        <f>ROUNDUP((M33),-1)</f>
        <v>1320</v>
      </c>
      <c r="P33" s="71" t="s">
        <v>37</v>
      </c>
      <c r="Q33" s="72"/>
      <c r="R33" s="72"/>
      <c r="S33" s="65"/>
      <c r="T33" s="485"/>
      <c r="U33" s="485"/>
      <c r="V33" s="485"/>
      <c r="W33" s="274" t="str">
        <f>""&amp;TEXT(G33,"0,0")&amp;" авт. х "&amp;TEXT(I33,"0,0")&amp;" раз х "&amp;TEXT(ROUND((K33),2),"000,00")&amp;" руб. = "&amp;TEXT(ROUND((M33),2),"000,00")&amp;" руб. = "&amp;TEXT(O33,"0 000,00")&amp;" руб."</f>
        <v>1,0 авт. х 1,0 раз х 1314,89 руб. = 1315,00 руб. = 1 320,00 руб.</v>
      </c>
    </row>
    <row r="34" spans="1:23" ht="26.25" customHeight="1" x14ac:dyDescent="0.25">
      <c r="A34" s="526"/>
      <c r="B34" s="377"/>
      <c r="C34" s="64"/>
      <c r="D34" s="379"/>
      <c r="E34" s="379"/>
      <c r="F34" s="68" t="str">
        <f>F15</f>
        <v>норматив на 2024 год :</v>
      </c>
      <c r="G34" s="275">
        <v>1</v>
      </c>
      <c r="H34" s="67" t="s">
        <v>81</v>
      </c>
      <c r="I34" s="69">
        <v>1</v>
      </c>
      <c r="J34" s="67" t="str">
        <f>J32</f>
        <v xml:space="preserve">раз х средняя цена </v>
      </c>
      <c r="K34" s="129">
        <f>K33*1.0487</f>
        <v>1378.9300131627999</v>
      </c>
      <c r="L34" s="67" t="s">
        <v>41</v>
      </c>
      <c r="M34" s="275">
        <f>ROUND((G34*I34*K34),0)</f>
        <v>1379</v>
      </c>
      <c r="N34" s="67" t="s">
        <v>41</v>
      </c>
      <c r="O34" s="70">
        <f>ROUNDUP((M34),-1)</f>
        <v>1380</v>
      </c>
      <c r="P34" s="71" t="s">
        <v>37</v>
      </c>
      <c r="Q34" s="72"/>
      <c r="R34" s="72"/>
      <c r="S34" s="65"/>
      <c r="T34" s="485"/>
      <c r="U34" s="485"/>
      <c r="V34" s="485"/>
      <c r="W34" s="274" t="str">
        <f t="shared" ref="W34:W35" si="4">""&amp;TEXT(G34,"0,0")&amp;" авт. х "&amp;TEXT(I34,"0,0")&amp;" раз х "&amp;TEXT(ROUND((K34),2),"000,00")&amp;" руб. = "&amp;TEXT(ROUND((M34),2),"000,00")&amp;" руб. = "&amp;TEXT(O34,"0 000,00")&amp;" руб."</f>
        <v>1,0 авт. х 1,0 раз х 1378,93 руб. = 1379,00 руб. = 1 380,00 руб.</v>
      </c>
    </row>
    <row r="35" spans="1:23" ht="26.25" customHeight="1" x14ac:dyDescent="0.25">
      <c r="A35" s="526"/>
      <c r="B35" s="377"/>
      <c r="C35" s="64"/>
      <c r="D35" s="379"/>
      <c r="E35" s="379"/>
      <c r="F35" s="68" t="str">
        <f>F16</f>
        <v>норматив на 2025 год :</v>
      </c>
      <c r="G35" s="275">
        <v>1</v>
      </c>
      <c r="H35" s="67" t="s">
        <v>81</v>
      </c>
      <c r="I35" s="69">
        <v>1</v>
      </c>
      <c r="J35" s="67" t="str">
        <f>J32</f>
        <v xml:space="preserve">раз х средняя цена </v>
      </c>
      <c r="K35" s="129">
        <f>K34*1.0457</f>
        <v>1441.9471147643401</v>
      </c>
      <c r="L35" s="67" t="s">
        <v>41</v>
      </c>
      <c r="M35" s="275">
        <f>ROUND((G35*I35*K35),0)</f>
        <v>1442</v>
      </c>
      <c r="N35" s="67" t="s">
        <v>25</v>
      </c>
      <c r="O35" s="70">
        <f>ROUNDUP((M35),-1)</f>
        <v>1450</v>
      </c>
      <c r="P35" s="71" t="s">
        <v>37</v>
      </c>
      <c r="Q35" s="70"/>
      <c r="R35" s="71"/>
      <c r="S35" s="65"/>
      <c r="T35" s="486"/>
      <c r="U35" s="486"/>
      <c r="V35" s="486"/>
      <c r="W35" s="274" t="str">
        <f t="shared" si="4"/>
        <v>1,0 авт. х 1,0 раз х 1441,95 руб. = 1442,00 руб. = 1 450,00 руб.</v>
      </c>
    </row>
    <row r="36" spans="1:23" ht="117.75" customHeight="1" x14ac:dyDescent="0.25">
      <c r="A36" s="520" t="s">
        <v>203</v>
      </c>
      <c r="B36" s="524" t="s">
        <v>202</v>
      </c>
      <c r="C36" s="64"/>
      <c r="D36" s="378">
        <v>225</v>
      </c>
      <c r="E36" s="378">
        <v>244</v>
      </c>
      <c r="F36" s="380" t="s">
        <v>246</v>
      </c>
      <c r="G36" s="380"/>
      <c r="H36" s="380"/>
      <c r="I36" s="380"/>
      <c r="J36" s="380"/>
      <c r="K36" s="380"/>
      <c r="L36" s="380"/>
      <c r="M36" s="380"/>
      <c r="N36" s="380"/>
      <c r="O36" s="380"/>
      <c r="P36" s="380"/>
      <c r="Q36" s="380"/>
      <c r="R36" s="380"/>
      <c r="S36" s="65"/>
      <c r="T36" s="522">
        <f>O38</f>
        <v>12000</v>
      </c>
      <c r="U36" s="522">
        <f>O39</f>
        <v>12590</v>
      </c>
      <c r="V36" s="522">
        <f>O40</f>
        <v>13160</v>
      </c>
      <c r="W36" s="274" t="s">
        <v>212</v>
      </c>
    </row>
    <row r="37" spans="1:23" ht="21.75" customHeight="1" outlineLevel="1" x14ac:dyDescent="0.25">
      <c r="A37" s="520"/>
      <c r="B37" s="525"/>
      <c r="C37" s="64"/>
      <c r="D37" s="379"/>
      <c r="E37" s="379"/>
      <c r="F37" s="61"/>
      <c r="G37" s="275">
        <v>1</v>
      </c>
      <c r="H37" s="67" t="s">
        <v>81</v>
      </c>
      <c r="I37" s="275">
        <v>1</v>
      </c>
      <c r="J37" s="67" t="s">
        <v>255</v>
      </c>
      <c r="K37" s="275"/>
      <c r="L37" s="67" t="s">
        <v>41</v>
      </c>
      <c r="M37" s="275">
        <f>ROUND((G37*I37*K37),0)</f>
        <v>0</v>
      </c>
      <c r="N37" s="67" t="s">
        <v>37</v>
      </c>
      <c r="O37" s="70">
        <f>ROUNDUP((M37),-1)</f>
        <v>0</v>
      </c>
      <c r="P37" s="67"/>
      <c r="Q37" s="67"/>
      <c r="R37" s="65"/>
      <c r="S37" s="65"/>
      <c r="T37" s="522"/>
      <c r="U37" s="522"/>
      <c r="V37" s="522"/>
    </row>
    <row r="38" spans="1:23" ht="27" customHeight="1" x14ac:dyDescent="0.25">
      <c r="A38" s="520"/>
      <c r="B38" s="525"/>
      <c r="C38" s="64"/>
      <c r="D38" s="379"/>
      <c r="E38" s="379"/>
      <c r="F38" s="68" t="str">
        <f>F14</f>
        <v>норматив на 2023 год :</v>
      </c>
      <c r="G38" s="275">
        <v>1</v>
      </c>
      <c r="H38" s="67" t="s">
        <v>81</v>
      </c>
      <c r="I38" s="69">
        <v>1</v>
      </c>
      <c r="J38" s="67" t="str">
        <f>J37</f>
        <v xml:space="preserve">раз х средняя цена </v>
      </c>
      <c r="K38" s="129">
        <v>12000</v>
      </c>
      <c r="L38" s="67" t="s">
        <v>41</v>
      </c>
      <c r="M38" s="275">
        <f>ROUND((G38*I38*K38),0)</f>
        <v>12000</v>
      </c>
      <c r="N38" s="71" t="s">
        <v>37</v>
      </c>
      <c r="O38" s="70">
        <f>ROUNDUP((M38),-1)</f>
        <v>12000</v>
      </c>
      <c r="P38" s="71" t="s">
        <v>37</v>
      </c>
      <c r="Q38" s="72"/>
      <c r="R38" s="72"/>
      <c r="S38" s="65"/>
      <c r="T38" s="522"/>
      <c r="U38" s="522"/>
      <c r="V38" s="522"/>
      <c r="W38" s="274" t="str">
        <f>""&amp;TEXT(G38,"0,0")&amp;" авт. х "&amp;TEXT(I38,"0,0")&amp;" раз. х  "&amp;TEXT((K38),"000,00")&amp;" руб. = "&amp;TEXT((M38),"0 000,00")&amp;" руб. = "&amp;TEXT(O38,"0 000,00")&amp;" руб."</f>
        <v>1,0 авт. х 1,0 раз. х  12000,00 руб. = 12 000,00 руб. = 12 000,00 руб.</v>
      </c>
    </row>
    <row r="39" spans="1:23" ht="27" customHeight="1" x14ac:dyDescent="0.25">
      <c r="A39" s="520"/>
      <c r="B39" s="525"/>
      <c r="C39" s="64"/>
      <c r="D39" s="379"/>
      <c r="E39" s="379"/>
      <c r="F39" s="68" t="str">
        <f>F15</f>
        <v>норматив на 2024 год :</v>
      </c>
      <c r="G39" s="275">
        <v>1</v>
      </c>
      <c r="H39" s="67" t="s">
        <v>81</v>
      </c>
      <c r="I39" s="69">
        <v>1</v>
      </c>
      <c r="J39" s="67" t="str">
        <f>J37</f>
        <v xml:space="preserve">раз х средняя цена </v>
      </c>
      <c r="K39" s="129">
        <f>K38*1.0487</f>
        <v>12584.4</v>
      </c>
      <c r="L39" s="67" t="s">
        <v>41</v>
      </c>
      <c r="M39" s="275">
        <f>ROUND((G39*I39*K39),0)</f>
        <v>12584</v>
      </c>
      <c r="N39" s="71" t="s">
        <v>37</v>
      </c>
      <c r="O39" s="70">
        <f>ROUNDUP((M39),-1)</f>
        <v>12590</v>
      </c>
      <c r="P39" s="71" t="s">
        <v>37</v>
      </c>
      <c r="Q39" s="72"/>
      <c r="R39" s="72"/>
      <c r="S39" s="65"/>
      <c r="T39" s="522"/>
      <c r="U39" s="522"/>
      <c r="V39" s="522"/>
      <c r="W39" s="274" t="str">
        <f>""&amp;TEXT(G39,"0,0")&amp;" авт. х "&amp;TEXT(I39,"0,0")&amp;" раз. х  "&amp;TEXT((K39),"000,00")&amp;" руб. = "&amp;TEXT((M39),"0 000,00")&amp;" руб. = "&amp;TEXT(O39,"0 000,00")&amp;" руб."</f>
        <v>1,0 авт. х 1,0 раз. х  12584,40 руб. = 12 584,00 руб. = 12 590,00 руб.</v>
      </c>
    </row>
    <row r="40" spans="1:23" ht="27" customHeight="1" x14ac:dyDescent="0.25">
      <c r="A40" s="520"/>
      <c r="B40" s="525"/>
      <c r="C40" s="64"/>
      <c r="D40" s="379"/>
      <c r="E40" s="379"/>
      <c r="F40" s="68" t="str">
        <f>F16</f>
        <v>норматив на 2025 год :</v>
      </c>
      <c r="G40" s="275">
        <v>1</v>
      </c>
      <c r="H40" s="67" t="s">
        <v>81</v>
      </c>
      <c r="I40" s="69">
        <v>1</v>
      </c>
      <c r="J40" s="67" t="str">
        <f>J37</f>
        <v xml:space="preserve">раз х средняя цена </v>
      </c>
      <c r="K40" s="129">
        <f>K39*1.0457</f>
        <v>13159.507080000001</v>
      </c>
      <c r="L40" s="67" t="s">
        <v>41</v>
      </c>
      <c r="M40" s="275">
        <f>ROUND((G40*I40*K40),0)</f>
        <v>13160</v>
      </c>
      <c r="N40" s="71" t="s">
        <v>37</v>
      </c>
      <c r="O40" s="70">
        <f>ROUNDUP((M40),-1)</f>
        <v>13160</v>
      </c>
      <c r="P40" s="71" t="s">
        <v>37</v>
      </c>
      <c r="Q40" s="70"/>
      <c r="R40" s="71"/>
      <c r="S40" s="65"/>
      <c r="T40" s="523"/>
      <c r="U40" s="523"/>
      <c r="V40" s="523"/>
      <c r="W40" s="274" t="str">
        <f>""&amp;TEXT(G40,"0,0")&amp;" авт. х "&amp;TEXT(I40,"0,0")&amp;" раз. х  "&amp;TEXT((K40),"000,00")&amp;" руб. = "&amp;TEXT((M40),"0 000,00")&amp;" руб. = "&amp;TEXT(O40,"0 000,00")&amp;" руб."</f>
        <v>1,0 авт. х 1,0 раз. х  13159,51 руб. = 13 160,00 руб. = 13 160,00 руб.</v>
      </c>
    </row>
    <row r="41" spans="1:23" s="75" customFormat="1" ht="135.75" customHeight="1" x14ac:dyDescent="0.25">
      <c r="A41" s="520" t="s">
        <v>341</v>
      </c>
      <c r="B41" s="376" t="s">
        <v>233</v>
      </c>
      <c r="C41" s="56"/>
      <c r="D41" s="378">
        <v>225</v>
      </c>
      <c r="E41" s="378">
        <v>244</v>
      </c>
      <c r="F41" s="380" t="s">
        <v>244</v>
      </c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275"/>
      <c r="T41" s="485">
        <f>O43</f>
        <v>162340</v>
      </c>
      <c r="U41" s="485">
        <f>O44</f>
        <v>170240</v>
      </c>
      <c r="V41" s="485">
        <f>O45</f>
        <v>178020</v>
      </c>
      <c r="W41" s="274" t="s">
        <v>84</v>
      </c>
    </row>
    <row r="42" spans="1:23" ht="15" customHeight="1" outlineLevel="1" x14ac:dyDescent="0.25">
      <c r="A42" s="520"/>
      <c r="B42" s="377"/>
      <c r="C42" s="64"/>
      <c r="D42" s="379"/>
      <c r="E42" s="384"/>
      <c r="F42" s="76"/>
      <c r="G42" s="275"/>
      <c r="H42" s="67" t="s">
        <v>77</v>
      </c>
      <c r="I42" s="275">
        <v>1</v>
      </c>
      <c r="J42" s="67" t="s">
        <v>67</v>
      </c>
      <c r="K42" s="275"/>
      <c r="L42" s="67" t="s">
        <v>41</v>
      </c>
      <c r="M42" s="275"/>
      <c r="N42" s="67" t="s">
        <v>37</v>
      </c>
      <c r="P42" s="77" t="s">
        <v>145</v>
      </c>
      <c r="Q42" s="78"/>
      <c r="R42" s="61"/>
      <c r="S42" s="65"/>
      <c r="T42" s="485"/>
      <c r="U42" s="485"/>
      <c r="V42" s="485"/>
      <c r="W42" s="274"/>
    </row>
    <row r="43" spans="1:23" ht="28.5" customHeight="1" x14ac:dyDescent="0.25">
      <c r="A43" s="520"/>
      <c r="B43" s="377"/>
      <c r="C43" s="64"/>
      <c r="D43" s="379"/>
      <c r="E43" s="384"/>
      <c r="F43" s="68" t="str">
        <f>F14</f>
        <v>норматив на 2023 год :</v>
      </c>
      <c r="G43" s="275">
        <v>26</v>
      </c>
      <c r="H43" s="67" t="s">
        <v>77</v>
      </c>
      <c r="I43" s="69">
        <v>1</v>
      </c>
      <c r="J43" s="67" t="s">
        <v>67</v>
      </c>
      <c r="K43" s="70">
        <v>6243.6</v>
      </c>
      <c r="L43" s="67" t="s">
        <v>41</v>
      </c>
      <c r="M43" s="275">
        <f>ROUND((G43*I43*K43),0)</f>
        <v>162334</v>
      </c>
      <c r="N43" s="67" t="s">
        <v>37</v>
      </c>
      <c r="O43" s="70">
        <f>ROUNDUP((M43),-1)</f>
        <v>162340</v>
      </c>
      <c r="P43" s="71" t="s">
        <v>37</v>
      </c>
      <c r="Q43" s="72"/>
      <c r="R43" s="61"/>
      <c r="S43" s="72"/>
      <c r="T43" s="485"/>
      <c r="U43" s="485"/>
      <c r="V43" s="485"/>
      <c r="W43" s="274" t="str">
        <f>""&amp;TEXT(G43,"0,0")&amp;" шт. х "&amp;TEXT(I43,"0,0")&amp;" раз. х  "&amp;TEXT((K43),"000,00")&amp;" руб. = "&amp;TEXT((M43),"0 000,00")&amp;" руб. = "&amp;TEXT(O43,"0 000,00")&amp;" руб."</f>
        <v>26,0 шт. х 1,0 раз. х  6243,60 руб. = 162 334,00 руб. = 162 340,00 руб.</v>
      </c>
    </row>
    <row r="44" spans="1:23" ht="28.5" customHeight="1" x14ac:dyDescent="0.25">
      <c r="A44" s="520"/>
      <c r="B44" s="377"/>
      <c r="C44" s="64"/>
      <c r="D44" s="379"/>
      <c r="E44" s="384"/>
      <c r="F44" s="68" t="str">
        <f>F15</f>
        <v>норматив на 2024 год :</v>
      </c>
      <c r="G44" s="275">
        <v>26</v>
      </c>
      <c r="H44" s="67" t="s">
        <v>77</v>
      </c>
      <c r="I44" s="69">
        <v>1</v>
      </c>
      <c r="J44" s="67" t="s">
        <v>67</v>
      </c>
      <c r="K44" s="275">
        <f>K43*1.0487</f>
        <v>6547.6633200000006</v>
      </c>
      <c r="L44" s="67" t="s">
        <v>41</v>
      </c>
      <c r="M44" s="275">
        <f>ROUND((G44*I44*K44),0)</f>
        <v>170239</v>
      </c>
      <c r="N44" s="67" t="s">
        <v>37</v>
      </c>
      <c r="O44" s="70">
        <f>ROUNDUP((M44),-1)</f>
        <v>170240</v>
      </c>
      <c r="P44" s="71" t="s">
        <v>37</v>
      </c>
      <c r="Q44" s="72"/>
      <c r="R44" s="61"/>
      <c r="S44" s="72"/>
      <c r="T44" s="485"/>
      <c r="U44" s="485"/>
      <c r="V44" s="485"/>
      <c r="W44" s="274" t="str">
        <f t="shared" ref="W44:W45" si="5">""&amp;TEXT(G44,"0,0")&amp;" шт. х "&amp;TEXT(I44,"0,0")&amp;" раз. х  "&amp;TEXT((K44),"000,00")&amp;" руб. = "&amp;TEXT((M44),"0 000,00")&amp;" руб. = "&amp;TEXT(O44,"0 000,00")&amp;" руб."</f>
        <v>26,0 шт. х 1,0 раз. х  6547,66 руб. = 170 239,00 руб. = 170 240,00 руб.</v>
      </c>
    </row>
    <row r="45" spans="1:23" ht="28.5" customHeight="1" x14ac:dyDescent="0.25">
      <c r="A45" s="520"/>
      <c r="B45" s="377"/>
      <c r="C45" s="64"/>
      <c r="D45" s="379"/>
      <c r="E45" s="384"/>
      <c r="F45" s="68" t="str">
        <f>F16</f>
        <v>норматив на 2025 год :</v>
      </c>
      <c r="G45" s="275">
        <v>26</v>
      </c>
      <c r="H45" s="67" t="s">
        <v>77</v>
      </c>
      <c r="I45" s="69">
        <v>1</v>
      </c>
      <c r="J45" s="67" t="s">
        <v>67</v>
      </c>
      <c r="K45" s="275">
        <f>K44*1.0457</f>
        <v>6846.8915337240014</v>
      </c>
      <c r="L45" s="67" t="s">
        <v>41</v>
      </c>
      <c r="M45" s="275">
        <f>ROUND((G45*I45*K45),0)</f>
        <v>178019</v>
      </c>
      <c r="N45" s="67" t="s">
        <v>37</v>
      </c>
      <c r="O45" s="70">
        <f>ROUNDUP((M45),-1)</f>
        <v>178020</v>
      </c>
      <c r="P45" s="71" t="s">
        <v>37</v>
      </c>
      <c r="Q45" s="70"/>
      <c r="R45" s="61"/>
      <c r="S45" s="71"/>
      <c r="T45" s="486"/>
      <c r="U45" s="486"/>
      <c r="V45" s="486"/>
      <c r="W45" s="274" t="str">
        <f t="shared" si="5"/>
        <v>26,0 шт. х 1,0 раз. х  6846,89 руб. = 178 019,00 руб. = 178 020,00 руб.</v>
      </c>
    </row>
    <row r="46" spans="1:23" s="75" customFormat="1" ht="124.5" customHeight="1" x14ac:dyDescent="0.25">
      <c r="A46" s="520" t="s">
        <v>342</v>
      </c>
      <c r="B46" s="505" t="s">
        <v>217</v>
      </c>
      <c r="C46" s="56"/>
      <c r="D46" s="378">
        <v>225</v>
      </c>
      <c r="E46" s="378">
        <v>244</v>
      </c>
      <c r="F46" s="380" t="s">
        <v>257</v>
      </c>
      <c r="G46" s="380"/>
      <c r="H46" s="380"/>
      <c r="I46" s="380"/>
      <c r="J46" s="380"/>
      <c r="K46" s="380"/>
      <c r="L46" s="380"/>
      <c r="M46" s="380"/>
      <c r="N46" s="380"/>
      <c r="O46" s="380"/>
      <c r="P46" s="380"/>
      <c r="Q46" s="380"/>
      <c r="R46" s="380"/>
      <c r="S46" s="275"/>
      <c r="T46" s="485">
        <f>O48</f>
        <v>20000</v>
      </c>
      <c r="U46" s="485">
        <f>O49</f>
        <v>20980</v>
      </c>
      <c r="V46" s="485">
        <f>O50</f>
        <v>21940</v>
      </c>
      <c r="W46" s="274" t="s">
        <v>378</v>
      </c>
    </row>
    <row r="47" spans="1:23" ht="27.75" customHeight="1" outlineLevel="1" x14ac:dyDescent="0.25">
      <c r="A47" s="520"/>
      <c r="B47" s="506"/>
      <c r="C47" s="64"/>
      <c r="D47" s="379"/>
      <c r="E47" s="384"/>
      <c r="F47" s="76">
        <v>2023</v>
      </c>
      <c r="G47" s="286">
        <v>1</v>
      </c>
      <c r="H47" s="67" t="s">
        <v>258</v>
      </c>
      <c r="I47" s="286">
        <v>1</v>
      </c>
      <c r="J47" s="67" t="s">
        <v>259</v>
      </c>
      <c r="K47" s="286"/>
      <c r="L47" s="67" t="s">
        <v>41</v>
      </c>
      <c r="M47" s="286">
        <f>ROUND((G47*I47*K47),0)</f>
        <v>0</v>
      </c>
      <c r="N47" s="67" t="s">
        <v>37</v>
      </c>
      <c r="O47" s="70">
        <f>ROUNDUP((M47),-1)</f>
        <v>0</v>
      </c>
      <c r="P47" s="71" t="s">
        <v>37</v>
      </c>
      <c r="Q47" s="78"/>
      <c r="R47" s="61"/>
      <c r="S47" s="65"/>
      <c r="T47" s="485"/>
      <c r="U47" s="485"/>
      <c r="V47" s="485"/>
      <c r="W47" s="274"/>
    </row>
    <row r="48" spans="1:23" ht="32.25" customHeight="1" x14ac:dyDescent="0.25">
      <c r="A48" s="520"/>
      <c r="B48" s="506"/>
      <c r="C48" s="64"/>
      <c r="D48" s="379"/>
      <c r="E48" s="384"/>
      <c r="F48" s="68" t="str">
        <f>F14</f>
        <v>норматив на 2023 год :</v>
      </c>
      <c r="G48" s="286">
        <v>1</v>
      </c>
      <c r="H48" s="67" t="s">
        <v>258</v>
      </c>
      <c r="I48" s="69">
        <v>1</v>
      </c>
      <c r="J48" s="67" t="s">
        <v>259</v>
      </c>
      <c r="K48" s="286">
        <v>20000</v>
      </c>
      <c r="L48" s="67" t="s">
        <v>41</v>
      </c>
      <c r="M48" s="286">
        <f>ROUND((G48*I48*K48),0)</f>
        <v>20000</v>
      </c>
      <c r="N48" s="71" t="s">
        <v>37</v>
      </c>
      <c r="O48" s="70">
        <f>ROUNDUP((M48),-1)</f>
        <v>20000</v>
      </c>
      <c r="P48" s="71" t="s">
        <v>37</v>
      </c>
      <c r="Q48" s="72"/>
      <c r="R48" s="72"/>
      <c r="S48" s="65"/>
      <c r="T48" s="485"/>
      <c r="U48" s="485"/>
      <c r="V48" s="485"/>
      <c r="W48" s="274" t="str">
        <f>""&amp;TEXT(G48,"0,0")&amp;"  у.ед. х "&amp;TEXT(I48,"0,0")&amp;" раз х  "&amp;TEXT((K48),"000,00")&amp;" руб. = "&amp;TEXT((M48),"0 000,00")&amp;" руб. = "&amp;TEXT(O48,"0 000,00")&amp;" руб."</f>
        <v>1,0  у.ед. х 1,0 раз х  20000,00 руб. = 20 000,00 руб. = 20 000,00 руб.</v>
      </c>
    </row>
    <row r="49" spans="1:23" ht="24" customHeight="1" x14ac:dyDescent="0.25">
      <c r="A49" s="520"/>
      <c r="B49" s="506"/>
      <c r="C49" s="64"/>
      <c r="D49" s="379"/>
      <c r="E49" s="384"/>
      <c r="F49" s="68" t="str">
        <f>F15</f>
        <v>норматив на 2024 год :</v>
      </c>
      <c r="G49" s="275">
        <v>1</v>
      </c>
      <c r="H49" s="67" t="s">
        <v>258</v>
      </c>
      <c r="I49" s="69">
        <v>1</v>
      </c>
      <c r="J49" s="67" t="s">
        <v>259</v>
      </c>
      <c r="K49" s="129">
        <f>K48*1.0487</f>
        <v>20974</v>
      </c>
      <c r="L49" s="67" t="s">
        <v>41</v>
      </c>
      <c r="M49" s="275">
        <f>ROUND((G49*I49*K49),0)</f>
        <v>20974</v>
      </c>
      <c r="N49" s="71" t="s">
        <v>37</v>
      </c>
      <c r="O49" s="70">
        <f>ROUNDUP((M49),-1)</f>
        <v>20980</v>
      </c>
      <c r="P49" s="71" t="s">
        <v>37</v>
      </c>
      <c r="Q49" s="72"/>
      <c r="R49" s="72"/>
      <c r="S49" s="65"/>
      <c r="T49" s="485"/>
      <c r="U49" s="485"/>
      <c r="V49" s="485"/>
      <c r="W49" s="274" t="str">
        <f>""&amp;TEXT(G49,"0,0")&amp;"  у.ед. х "&amp;TEXT(I49,"0,0")&amp;" раз х  "&amp;TEXT((K49),"000,00")&amp;" руб. = "&amp;TEXT((M49),"0 000,00")&amp;" руб. = "&amp;TEXT(O49,"0 000,00")&amp;" руб."</f>
        <v>1,0  у.ед. х 1,0 раз х  20974,00 руб. = 20 974,00 руб. = 20 980,00 руб.</v>
      </c>
    </row>
    <row r="50" spans="1:23" ht="28.5" customHeight="1" x14ac:dyDescent="0.25">
      <c r="A50" s="520"/>
      <c r="B50" s="506"/>
      <c r="C50" s="64"/>
      <c r="D50" s="379"/>
      <c r="E50" s="384"/>
      <c r="F50" s="68" t="str">
        <f>F16</f>
        <v>норматив на 2025 год :</v>
      </c>
      <c r="G50" s="275">
        <v>1</v>
      </c>
      <c r="H50" s="67" t="s">
        <v>258</v>
      </c>
      <c r="I50" s="69">
        <v>1</v>
      </c>
      <c r="J50" s="67" t="s">
        <v>259</v>
      </c>
      <c r="K50" s="129">
        <f>K49*1.0457</f>
        <v>21932.5118</v>
      </c>
      <c r="L50" s="67" t="s">
        <v>41</v>
      </c>
      <c r="M50" s="275">
        <f>ROUND((G50*I50*K50),0)</f>
        <v>21933</v>
      </c>
      <c r="N50" s="71" t="s">
        <v>37</v>
      </c>
      <c r="O50" s="70">
        <f>ROUNDUP((M50),-1)</f>
        <v>21940</v>
      </c>
      <c r="P50" s="71" t="s">
        <v>37</v>
      </c>
      <c r="Q50" s="70"/>
      <c r="R50" s="71"/>
      <c r="S50" s="65"/>
      <c r="T50" s="486"/>
      <c r="U50" s="486"/>
      <c r="V50" s="486"/>
      <c r="W50" s="274" t="str">
        <f>""&amp;TEXT(G50,"0,0")&amp;"  у.ед. х "&amp;TEXT(I50,"0,0")&amp;" раз х  "&amp;TEXT((K50),"000,00")&amp;" руб. = "&amp;TEXT((M50),"0 000,00")&amp;" руб. = "&amp;TEXT(O50,"0 000,00")&amp;" руб."</f>
        <v>1,0  у.ед. х 1,0 раз х  21932,51 руб. = 21 933,00 руб. = 21 940,00 руб.</v>
      </c>
    </row>
    <row r="51" spans="1:23" ht="134.25" customHeight="1" x14ac:dyDescent="0.25">
      <c r="A51" s="520" t="s">
        <v>343</v>
      </c>
      <c r="B51" s="518" t="s">
        <v>111</v>
      </c>
      <c r="C51" s="64"/>
      <c r="D51" s="378">
        <v>225</v>
      </c>
      <c r="E51" s="378">
        <v>244</v>
      </c>
      <c r="F51" s="380" t="s">
        <v>246</v>
      </c>
      <c r="G51" s="380"/>
      <c r="H51" s="380"/>
      <c r="I51" s="380"/>
      <c r="J51" s="380"/>
      <c r="K51" s="380"/>
      <c r="L51" s="380"/>
      <c r="M51" s="380"/>
      <c r="N51" s="380"/>
      <c r="O51" s="380"/>
      <c r="P51" s="380"/>
      <c r="Q51" s="380"/>
      <c r="R51" s="380"/>
      <c r="S51" s="65"/>
      <c r="T51" s="485">
        <f>O53</f>
        <v>45990</v>
      </c>
      <c r="U51" s="485">
        <f>O54</f>
        <v>48230</v>
      </c>
      <c r="V51" s="485">
        <f>O55</f>
        <v>50440</v>
      </c>
      <c r="W51" s="274" t="s">
        <v>377</v>
      </c>
    </row>
    <row r="52" spans="1:23" ht="19.5" customHeight="1" outlineLevel="1" x14ac:dyDescent="0.25">
      <c r="A52" s="520"/>
      <c r="B52" s="519"/>
      <c r="C52" s="64"/>
      <c r="D52" s="379"/>
      <c r="E52" s="384"/>
      <c r="F52" s="61"/>
      <c r="G52" s="314">
        <v>8760</v>
      </c>
      <c r="H52" s="65" t="s">
        <v>375</v>
      </c>
      <c r="I52" s="275"/>
      <c r="J52" s="67" t="s">
        <v>250</v>
      </c>
      <c r="K52" s="275"/>
      <c r="L52" s="67" t="s">
        <v>41</v>
      </c>
      <c r="M52" s="275">
        <f>ROUND((G52*I52*K52),2)</f>
        <v>0</v>
      </c>
      <c r="N52" s="67" t="s">
        <v>37</v>
      </c>
      <c r="O52" s="67"/>
      <c r="P52" s="67"/>
      <c r="Q52" s="67"/>
      <c r="R52" s="65"/>
      <c r="S52" s="65"/>
      <c r="T52" s="485"/>
      <c r="U52" s="485"/>
      <c r="V52" s="485"/>
      <c r="W52" s="274"/>
    </row>
    <row r="53" spans="1:23" ht="21" customHeight="1" x14ac:dyDescent="0.25">
      <c r="A53" s="520"/>
      <c r="B53" s="519"/>
      <c r="C53" s="64"/>
      <c r="D53" s="379"/>
      <c r="E53" s="384"/>
      <c r="F53" s="68" t="str">
        <f>F14</f>
        <v>норматив на 2023 год :</v>
      </c>
      <c r="G53" s="314">
        <v>8760</v>
      </c>
      <c r="H53" s="65" t="s">
        <v>375</v>
      </c>
      <c r="I53" s="314">
        <v>5.25</v>
      </c>
      <c r="J53" s="67" t="str">
        <f>J52</f>
        <v>руб. цена одного часа</v>
      </c>
      <c r="K53" s="314">
        <f t="shared" ref="K53" si="6">I53*G53</f>
        <v>45990</v>
      </c>
      <c r="L53" s="67" t="s">
        <v>41</v>
      </c>
      <c r="M53" s="314">
        <f t="shared" ref="M53" si="7">ROUND((K53),0)</f>
        <v>45990</v>
      </c>
      <c r="N53" s="71" t="s">
        <v>37</v>
      </c>
      <c r="O53" s="70">
        <f>ROUNDUP((M53),-1)</f>
        <v>45990</v>
      </c>
      <c r="P53" s="71" t="s">
        <v>37</v>
      </c>
      <c r="Q53" s="72"/>
      <c r="R53" s="72"/>
      <c r="S53" s="65"/>
      <c r="T53" s="485"/>
      <c r="U53" s="485"/>
      <c r="V53" s="485"/>
      <c r="W53" s="274" t="str">
        <f>""&amp;TEXT(G53,"0,0")&amp;" шт. х "&amp;TEXT(I53,"0,0")&amp;" мес. х "&amp;TEXT(ROUND((K53),2),"0 000,00")&amp;" руб. = "&amp;TEXT(ROUND(((M53)),2),"0 000,00")&amp;" руб. = "&amp;TEXT(O53,"0 000,00")&amp;" руб."</f>
        <v>8760,0 шт. х 5,3 мес. х 45 990,00 руб. = 45 990,00 руб. = 45 990,00 руб.</v>
      </c>
    </row>
    <row r="54" spans="1:23" ht="21" customHeight="1" x14ac:dyDescent="0.25">
      <c r="A54" s="520"/>
      <c r="B54" s="519"/>
      <c r="C54" s="64"/>
      <c r="D54" s="379"/>
      <c r="E54" s="384"/>
      <c r="F54" s="68" t="str">
        <f>F15</f>
        <v>норматив на 2024 год :</v>
      </c>
      <c r="G54" s="314">
        <v>8760</v>
      </c>
      <c r="H54" s="65" t="s">
        <v>375</v>
      </c>
      <c r="I54" s="129">
        <f>I53*1.0487</f>
        <v>5.5056750000000001</v>
      </c>
      <c r="J54" s="67" t="str">
        <f t="shared" ref="J54:J55" si="8">J53</f>
        <v>руб. цена одного часа</v>
      </c>
      <c r="K54" s="314">
        <f t="shared" ref="K54:K55" si="9">I54*G54</f>
        <v>48229.713000000003</v>
      </c>
      <c r="L54" s="67" t="s">
        <v>41</v>
      </c>
      <c r="M54" s="314">
        <f t="shared" ref="M54:M55" si="10">ROUND((K54),0)</f>
        <v>48230</v>
      </c>
      <c r="N54" s="71" t="s">
        <v>37</v>
      </c>
      <c r="O54" s="70">
        <f>ROUNDUP((M54),-1)</f>
        <v>48230</v>
      </c>
      <c r="P54" s="71" t="s">
        <v>37</v>
      </c>
      <c r="Q54" s="72"/>
      <c r="R54" s="72"/>
      <c r="S54" s="65"/>
      <c r="T54" s="485"/>
      <c r="U54" s="485"/>
      <c r="V54" s="485"/>
      <c r="W54" s="274" t="str">
        <f>""&amp;TEXT(G54,"0,0")&amp;" шт. х "&amp;TEXT(I54,"0,0")&amp;" мес. х "&amp;TEXT(ROUND((K54),2),"0 000,00")&amp;" руб. = "&amp;TEXT(ROUND(((M54)),2),"0 000,00")&amp;" руб. = "&amp;TEXT(O54,"0 000,00")&amp;" руб."</f>
        <v>8760,0 шт. х 5,5 мес. х 48 229,71 руб. = 48 230,00 руб. = 48 230,00 руб.</v>
      </c>
    </row>
    <row r="55" spans="1:23" ht="21" customHeight="1" x14ac:dyDescent="0.25">
      <c r="A55" s="520"/>
      <c r="B55" s="519"/>
      <c r="C55" s="64"/>
      <c r="D55" s="379"/>
      <c r="E55" s="384"/>
      <c r="F55" s="68" t="str">
        <f>F16</f>
        <v>норматив на 2025 год :</v>
      </c>
      <c r="G55" s="314">
        <v>8760</v>
      </c>
      <c r="H55" s="65" t="s">
        <v>375</v>
      </c>
      <c r="I55" s="129">
        <f>I54*1.0457</f>
        <v>5.7572843475000006</v>
      </c>
      <c r="J55" s="67" t="str">
        <f t="shared" si="8"/>
        <v>руб. цена одного часа</v>
      </c>
      <c r="K55" s="314">
        <f t="shared" si="9"/>
        <v>50433.810884100007</v>
      </c>
      <c r="L55" s="67" t="s">
        <v>41</v>
      </c>
      <c r="M55" s="314">
        <f t="shared" si="10"/>
        <v>50434</v>
      </c>
      <c r="N55" s="71" t="s">
        <v>37</v>
      </c>
      <c r="O55" s="70">
        <f>ROUNDUP((M55),-1)</f>
        <v>50440</v>
      </c>
      <c r="P55" s="71" t="s">
        <v>37</v>
      </c>
      <c r="Q55" s="70"/>
      <c r="R55" s="71"/>
      <c r="S55" s="65"/>
      <c r="T55" s="486"/>
      <c r="U55" s="486"/>
      <c r="V55" s="486"/>
      <c r="W55" s="274" t="str">
        <f>""&amp;TEXT(G55,"0,0")&amp;" шт. х "&amp;TEXT(I55,"0,0")&amp;" мес. х "&amp;TEXT(ROUND((K55),2),"0 000,00")&amp;" руб. = "&amp;TEXT(ROUND(((M55)),2),"0 000,00")&amp;" руб. = "&amp;TEXT(O55,"0 000,00")&amp;" руб."</f>
        <v>8760,0 шт. х 5,8 мес. х 50 433,81 руб. = 50 434,00 руб. = 50 440,00 руб.</v>
      </c>
    </row>
    <row r="56" spans="1:23" ht="134.25" customHeight="1" x14ac:dyDescent="0.25">
      <c r="A56" s="520" t="s">
        <v>344</v>
      </c>
      <c r="B56" s="376" t="s">
        <v>116</v>
      </c>
      <c r="C56" s="64"/>
      <c r="D56" s="378">
        <v>225</v>
      </c>
      <c r="E56" s="378">
        <v>244</v>
      </c>
      <c r="F56" s="380" t="s">
        <v>245</v>
      </c>
      <c r="G56" s="380"/>
      <c r="H56" s="380"/>
      <c r="I56" s="380"/>
      <c r="J56" s="380"/>
      <c r="K56" s="380"/>
      <c r="L56" s="380"/>
      <c r="M56" s="380"/>
      <c r="N56" s="380"/>
      <c r="O56" s="380"/>
      <c r="P56" s="380"/>
      <c r="Q56" s="380"/>
      <c r="R56" s="380"/>
      <c r="S56" s="65"/>
      <c r="T56" s="485">
        <f>O58</f>
        <v>6410</v>
      </c>
      <c r="U56" s="485">
        <f>O59</f>
        <v>6720</v>
      </c>
      <c r="V56" s="485">
        <f>O60</f>
        <v>7030</v>
      </c>
      <c r="W56" s="274" t="s">
        <v>85</v>
      </c>
    </row>
    <row r="57" spans="1:23" ht="21.75" customHeight="1" outlineLevel="1" x14ac:dyDescent="0.25">
      <c r="A57" s="520"/>
      <c r="B57" s="377"/>
      <c r="C57" s="64"/>
      <c r="D57" s="379"/>
      <c r="E57" s="384"/>
      <c r="F57" s="61">
        <v>2022</v>
      </c>
      <c r="G57" s="275">
        <v>1</v>
      </c>
      <c r="H57" s="67" t="s">
        <v>77</v>
      </c>
      <c r="I57" s="139">
        <v>4</v>
      </c>
      <c r="J57" s="67" t="s">
        <v>67</v>
      </c>
      <c r="K57" s="275">
        <v>1479.08</v>
      </c>
      <c r="L57" s="67" t="s">
        <v>41</v>
      </c>
      <c r="M57" s="275">
        <f>ROUND((G57*I57*K57),0)</f>
        <v>5916</v>
      </c>
      <c r="N57" s="67" t="s">
        <v>37</v>
      </c>
      <c r="O57" s="70">
        <f>ROUNDUP((M57),-1)</f>
        <v>5920</v>
      </c>
      <c r="P57" s="71" t="s">
        <v>37</v>
      </c>
      <c r="Q57" s="67"/>
      <c r="R57" s="65"/>
      <c r="S57" s="65"/>
      <c r="T57" s="485"/>
      <c r="U57" s="485"/>
      <c r="V57" s="485"/>
      <c r="W57" s="274"/>
    </row>
    <row r="58" spans="1:23" ht="22.5" customHeight="1" x14ac:dyDescent="0.25">
      <c r="A58" s="520"/>
      <c r="B58" s="377"/>
      <c r="C58" s="64"/>
      <c r="D58" s="379"/>
      <c r="E58" s="384"/>
      <c r="F58" s="68" t="str">
        <f>F14</f>
        <v>норматив на 2023 год :</v>
      </c>
      <c r="G58" s="275">
        <v>1</v>
      </c>
      <c r="H58" s="67" t="s">
        <v>77</v>
      </c>
      <c r="I58" s="139">
        <v>4</v>
      </c>
      <c r="J58" s="67" t="s">
        <v>67</v>
      </c>
      <c r="K58" s="129">
        <f>K57*1.0822</f>
        <v>1600.660376</v>
      </c>
      <c r="L58" s="67" t="s">
        <v>41</v>
      </c>
      <c r="M58" s="275">
        <f t="shared" ref="M58:M60" si="11">ROUND((G58*I58*K58),0)</f>
        <v>6403</v>
      </c>
      <c r="N58" s="71" t="s">
        <v>37</v>
      </c>
      <c r="O58" s="70">
        <f t="shared" ref="O58:O60" si="12">ROUNDUP((M58),-1)</f>
        <v>6410</v>
      </c>
      <c r="P58" s="71" t="s">
        <v>37</v>
      </c>
      <c r="Q58" s="70"/>
      <c r="R58" s="71"/>
      <c r="S58" s="65"/>
      <c r="T58" s="485"/>
      <c r="U58" s="485"/>
      <c r="V58" s="485"/>
      <c r="W58" s="274" t="str">
        <f>""&amp;TEXT(G58,"0,0")&amp;" шт. х "&amp;TEXT(I58,"0,0")&amp;" раза х "&amp;TEXT(ROUND((K58),2),"0 000,00")&amp;" руб. = "&amp;TEXT(ROUND(((M58)),2),"0 000,00")&amp;" руб. = "&amp;TEXT(O58,"0 000,00")&amp;" руб."</f>
        <v>1,0 шт. х 4,0 раза х 1 600,66 руб. = 6 403,00 руб. = 6 410,00 руб.</v>
      </c>
    </row>
    <row r="59" spans="1:23" ht="21.75" customHeight="1" x14ac:dyDescent="0.25">
      <c r="A59" s="520"/>
      <c r="B59" s="377"/>
      <c r="C59" s="64"/>
      <c r="D59" s="379"/>
      <c r="E59" s="384"/>
      <c r="F59" s="68" t="str">
        <f>F15</f>
        <v>норматив на 2024 год :</v>
      </c>
      <c r="G59" s="275">
        <v>1</v>
      </c>
      <c r="H59" s="67" t="s">
        <v>77</v>
      </c>
      <c r="I59" s="139">
        <v>4</v>
      </c>
      <c r="J59" s="67" t="s">
        <v>67</v>
      </c>
      <c r="K59" s="129">
        <f>K58*1.0487</f>
        <v>1678.6125363112001</v>
      </c>
      <c r="L59" s="67" t="s">
        <v>41</v>
      </c>
      <c r="M59" s="275">
        <f t="shared" si="11"/>
        <v>6714</v>
      </c>
      <c r="N59" s="71" t="s">
        <v>37</v>
      </c>
      <c r="O59" s="70">
        <f t="shared" si="12"/>
        <v>6720</v>
      </c>
      <c r="P59" s="71" t="s">
        <v>37</v>
      </c>
      <c r="Q59" s="70"/>
      <c r="R59" s="71"/>
      <c r="S59" s="65"/>
      <c r="T59" s="485"/>
      <c r="U59" s="485"/>
      <c r="V59" s="485"/>
      <c r="W59" s="274" t="str">
        <f t="shared" ref="W59:W60" si="13">""&amp;TEXT(G59,"0,0")&amp;" шт. х "&amp;TEXT(I59,"0,0")&amp;" раза х "&amp;TEXT(ROUND((K59),2),"0 000,00")&amp;" руб. = "&amp;TEXT(ROUND(((M59)),2),"0 000,00")&amp;" руб. = "&amp;TEXT(O59,"0 000,00")&amp;" руб."</f>
        <v>1,0 шт. х 4,0 раза х 1 678,61 руб. = 6 714,00 руб. = 6 720,00 руб.</v>
      </c>
    </row>
    <row r="60" spans="1:23" ht="22.5" customHeight="1" x14ac:dyDescent="0.25">
      <c r="A60" s="520"/>
      <c r="B60" s="377"/>
      <c r="C60" s="64"/>
      <c r="D60" s="379"/>
      <c r="E60" s="384"/>
      <c r="F60" s="68" t="str">
        <f>F16</f>
        <v>норматив на 2025 год :</v>
      </c>
      <c r="G60" s="275">
        <v>1</v>
      </c>
      <c r="H60" s="67" t="s">
        <v>77</v>
      </c>
      <c r="I60" s="139">
        <v>4</v>
      </c>
      <c r="J60" s="67" t="s">
        <v>67</v>
      </c>
      <c r="K60" s="129">
        <f>K59*1.0457</f>
        <v>1755.3251292206221</v>
      </c>
      <c r="L60" s="67" t="s">
        <v>41</v>
      </c>
      <c r="M60" s="275">
        <f t="shared" si="11"/>
        <v>7021</v>
      </c>
      <c r="N60" s="71" t="s">
        <v>37</v>
      </c>
      <c r="O60" s="70">
        <f t="shared" si="12"/>
        <v>7030</v>
      </c>
      <c r="P60" s="71" t="s">
        <v>37</v>
      </c>
      <c r="Q60" s="70"/>
      <c r="R60" s="71"/>
      <c r="S60" s="65"/>
      <c r="T60" s="486"/>
      <c r="U60" s="486"/>
      <c r="V60" s="486"/>
      <c r="W60" s="274" t="str">
        <f t="shared" si="13"/>
        <v>1,0 шт. х 4,0 раза х 1 755,33 руб. = 7 021,00 руб. = 7 030,00 руб.</v>
      </c>
    </row>
    <row r="61" spans="1:23" s="75" customFormat="1" ht="119.25" customHeight="1" x14ac:dyDescent="0.25">
      <c r="A61" s="504" t="s">
        <v>345</v>
      </c>
      <c r="B61" s="505" t="s">
        <v>208</v>
      </c>
      <c r="C61" s="56"/>
      <c r="D61" s="378">
        <v>225</v>
      </c>
      <c r="E61" s="378">
        <v>244</v>
      </c>
      <c r="F61" s="380" t="s">
        <v>245</v>
      </c>
      <c r="G61" s="380"/>
      <c r="H61" s="380"/>
      <c r="I61" s="380"/>
      <c r="J61" s="380"/>
      <c r="K61" s="380"/>
      <c r="L61" s="380"/>
      <c r="M61" s="380"/>
      <c r="N61" s="380"/>
      <c r="O61" s="380"/>
      <c r="P61" s="380"/>
      <c r="Q61" s="380"/>
      <c r="R61" s="380"/>
      <c r="S61" s="275"/>
      <c r="T61" s="485">
        <f>O63</f>
        <v>68040</v>
      </c>
      <c r="U61" s="485">
        <f>O64</f>
        <v>71350</v>
      </c>
      <c r="V61" s="485">
        <f>O65</f>
        <v>74610</v>
      </c>
      <c r="W61" s="274" t="s">
        <v>209</v>
      </c>
    </row>
    <row r="62" spans="1:23" ht="15" customHeight="1" outlineLevel="1" x14ac:dyDescent="0.25">
      <c r="A62" s="504"/>
      <c r="B62" s="506"/>
      <c r="C62" s="64"/>
      <c r="D62" s="379"/>
      <c r="E62" s="384"/>
      <c r="F62" s="61">
        <v>2022</v>
      </c>
      <c r="G62" s="275">
        <v>1</v>
      </c>
      <c r="H62" s="67" t="s">
        <v>77</v>
      </c>
      <c r="I62" s="139">
        <v>1</v>
      </c>
      <c r="J62" s="67" t="s">
        <v>67</v>
      </c>
      <c r="K62" s="275">
        <v>62868</v>
      </c>
      <c r="L62" s="67" t="s">
        <v>41</v>
      </c>
      <c r="M62" s="275">
        <f>ROUND((G62*I62*K62),0)</f>
        <v>62868</v>
      </c>
      <c r="N62" s="67" t="s">
        <v>37</v>
      </c>
      <c r="O62" s="70">
        <f>ROUNDUP((M62),-1)</f>
        <v>62870</v>
      </c>
      <c r="P62" s="71" t="s">
        <v>37</v>
      </c>
      <c r="Q62" s="78"/>
      <c r="R62" s="61"/>
      <c r="S62" s="65"/>
      <c r="T62" s="485"/>
      <c r="U62" s="485"/>
      <c r="V62" s="485"/>
      <c r="W62" s="274"/>
    </row>
    <row r="63" spans="1:23" ht="18" customHeight="1" x14ac:dyDescent="0.25">
      <c r="A63" s="504"/>
      <c r="B63" s="506"/>
      <c r="C63" s="64"/>
      <c r="D63" s="379"/>
      <c r="E63" s="384"/>
      <c r="F63" s="68" t="str">
        <f>F14</f>
        <v>норматив на 2023 год :</v>
      </c>
      <c r="G63" s="275">
        <v>1</v>
      </c>
      <c r="H63" s="67" t="s">
        <v>77</v>
      </c>
      <c r="I63" s="139">
        <v>1</v>
      </c>
      <c r="J63" s="67" t="s">
        <v>67</v>
      </c>
      <c r="K63" s="129">
        <f>K62*1.0822</f>
        <v>68035.74960000001</v>
      </c>
      <c r="L63" s="67" t="s">
        <v>41</v>
      </c>
      <c r="M63" s="275">
        <f t="shared" ref="M63:M65" si="14">ROUND((G63*I63*K63),0)</f>
        <v>68036</v>
      </c>
      <c r="N63" s="67" t="s">
        <v>37</v>
      </c>
      <c r="O63" s="70">
        <f t="shared" ref="O63:O65" si="15">ROUNDUP((M63),-1)</f>
        <v>68040</v>
      </c>
      <c r="P63" s="71" t="s">
        <v>37</v>
      </c>
      <c r="Q63" s="72"/>
      <c r="R63" s="61"/>
      <c r="S63" s="72"/>
      <c r="T63" s="485"/>
      <c r="U63" s="485"/>
      <c r="V63" s="485"/>
      <c r="W63" s="274" t="str">
        <f>""&amp;TEXT($G$37,"0,0")&amp;" у.ед. х "&amp;TEXT($I$37,"0,0")&amp;" раз х "&amp;TEXT(ROUND((K63),2),"000,00")&amp;" руб. = "&amp;TEXT(ROUND((M63),2),"000,00")&amp;" руб. = "&amp;TEXT(O63,"0 000,00")&amp;" руб."</f>
        <v>1,0 у.ед. х 1,0 раз х 68035,75 руб. = 68036,00 руб. = 68 040,00 руб.</v>
      </c>
    </row>
    <row r="64" spans="1:23" ht="19.5" customHeight="1" x14ac:dyDescent="0.25">
      <c r="A64" s="504"/>
      <c r="B64" s="506"/>
      <c r="C64" s="64"/>
      <c r="D64" s="379"/>
      <c r="E64" s="384"/>
      <c r="F64" s="68" t="str">
        <f>F15</f>
        <v>норматив на 2024 год :</v>
      </c>
      <c r="G64" s="275">
        <v>1</v>
      </c>
      <c r="H64" s="67" t="s">
        <v>77</v>
      </c>
      <c r="I64" s="139">
        <v>1</v>
      </c>
      <c r="J64" s="67" t="s">
        <v>67</v>
      </c>
      <c r="K64" s="129">
        <f>K63*1.0487</f>
        <v>71349.090605520003</v>
      </c>
      <c r="L64" s="67" t="s">
        <v>41</v>
      </c>
      <c r="M64" s="275">
        <f t="shared" si="14"/>
        <v>71349</v>
      </c>
      <c r="N64" s="67" t="s">
        <v>37</v>
      </c>
      <c r="O64" s="70">
        <f t="shared" si="15"/>
        <v>71350</v>
      </c>
      <c r="P64" s="71" t="s">
        <v>37</v>
      </c>
      <c r="Q64" s="72"/>
      <c r="R64" s="61"/>
      <c r="S64" s="72"/>
      <c r="T64" s="485"/>
      <c r="U64" s="485"/>
      <c r="V64" s="485"/>
      <c r="W64" s="274" t="str">
        <f>""&amp;TEXT($G$37,"0,0")&amp;" ед. х "&amp;TEXT($I$37,"0,0")&amp;" раз х "&amp;TEXT(ROUND((K64),2),"000,00")&amp;" руб. = "&amp;TEXT(ROUND((M64),2),"000,00")&amp;" руб. = "&amp;TEXT(O64,"0 000,00")&amp;" руб."</f>
        <v>1,0 ед. х 1,0 раз х 71349,09 руб. = 71349,00 руб. = 71 350,00 руб.</v>
      </c>
    </row>
    <row r="65" spans="1:23" ht="19.5" customHeight="1" x14ac:dyDescent="0.25">
      <c r="A65" s="504"/>
      <c r="B65" s="506"/>
      <c r="C65" s="64"/>
      <c r="D65" s="379"/>
      <c r="E65" s="384"/>
      <c r="F65" s="68" t="str">
        <f>F16</f>
        <v>норматив на 2025 год :</v>
      </c>
      <c r="G65" s="275">
        <v>1</v>
      </c>
      <c r="H65" s="67" t="s">
        <v>77</v>
      </c>
      <c r="I65" s="139">
        <v>1</v>
      </c>
      <c r="J65" s="67" t="s">
        <v>67</v>
      </c>
      <c r="K65" s="129">
        <f>K64*1.0457</f>
        <v>74609.744046192267</v>
      </c>
      <c r="L65" s="67" t="s">
        <v>41</v>
      </c>
      <c r="M65" s="275">
        <f t="shared" si="14"/>
        <v>74610</v>
      </c>
      <c r="N65" s="67" t="s">
        <v>37</v>
      </c>
      <c r="O65" s="70">
        <f t="shared" si="15"/>
        <v>74610</v>
      </c>
      <c r="P65" s="71" t="s">
        <v>37</v>
      </c>
      <c r="Q65" s="70"/>
      <c r="R65" s="61"/>
      <c r="S65" s="71"/>
      <c r="T65" s="486"/>
      <c r="U65" s="486"/>
      <c r="V65" s="486"/>
      <c r="W65" s="274" t="str">
        <f>""&amp;TEXT($G$37,"0,0")&amp;" ед. х "&amp;TEXT($I$37,"0,0")&amp;" раз х "&amp;TEXT(ROUND((K65),2),"000,00")&amp;" руб. = "&amp;TEXT(ROUND((M65),2),"000,00")&amp;" руб. = "&amp;TEXT(O65,"0 000,00")&amp;" руб."</f>
        <v>1,0 ед. х 1,0 раз х 74609,74 руб. = 74610,00 руб. = 74 610,00 руб.</v>
      </c>
    </row>
    <row r="66" spans="1:23" s="75" customFormat="1" ht="119.25" customHeight="1" x14ac:dyDescent="0.25">
      <c r="A66" s="504" t="s">
        <v>346</v>
      </c>
      <c r="B66" s="505" t="s">
        <v>236</v>
      </c>
      <c r="C66" s="56"/>
      <c r="D66" s="378">
        <v>225</v>
      </c>
      <c r="E66" s="378">
        <v>244</v>
      </c>
      <c r="F66" s="380" t="s">
        <v>246</v>
      </c>
      <c r="G66" s="380"/>
      <c r="H66" s="380"/>
      <c r="I66" s="380"/>
      <c r="J66" s="380"/>
      <c r="K66" s="380"/>
      <c r="L66" s="380"/>
      <c r="M66" s="380"/>
      <c r="N66" s="380"/>
      <c r="O66" s="380"/>
      <c r="P66" s="380"/>
      <c r="Q66" s="380"/>
      <c r="R66" s="380"/>
      <c r="S66" s="280"/>
      <c r="T66" s="485">
        <f>O68</f>
        <v>6960</v>
      </c>
      <c r="U66" s="485">
        <f>O69</f>
        <v>7300</v>
      </c>
      <c r="V66" s="485">
        <f>O70</f>
        <v>7630</v>
      </c>
      <c r="W66" s="279" t="s">
        <v>363</v>
      </c>
    </row>
    <row r="67" spans="1:23" ht="15" customHeight="1" outlineLevel="1" x14ac:dyDescent="0.25">
      <c r="A67" s="504"/>
      <c r="B67" s="506"/>
      <c r="C67" s="64"/>
      <c r="D67" s="379"/>
      <c r="E67" s="384"/>
      <c r="F67" s="61"/>
      <c r="G67" s="280"/>
      <c r="H67" s="67"/>
      <c r="I67" s="139"/>
      <c r="J67" s="67" t="s">
        <v>67</v>
      </c>
      <c r="K67" s="280"/>
      <c r="L67" s="67" t="s">
        <v>41</v>
      </c>
      <c r="M67" s="280">
        <f>ROUND((G67*I67*K67),0)</f>
        <v>0</v>
      </c>
      <c r="N67" s="67" t="s">
        <v>37</v>
      </c>
      <c r="O67" s="70">
        <f>ROUNDUP((M67),-1)</f>
        <v>0</v>
      </c>
      <c r="P67" s="71" t="s">
        <v>37</v>
      </c>
      <c r="Q67" s="78"/>
      <c r="R67" s="61"/>
      <c r="S67" s="65"/>
      <c r="T67" s="485"/>
      <c r="U67" s="485"/>
      <c r="V67" s="485"/>
      <c r="W67" s="279"/>
    </row>
    <row r="68" spans="1:23" ht="18" customHeight="1" x14ac:dyDescent="0.25">
      <c r="A68" s="504"/>
      <c r="B68" s="506"/>
      <c r="C68" s="64"/>
      <c r="D68" s="379"/>
      <c r="E68" s="384"/>
      <c r="F68" s="68">
        <f>F9</f>
        <v>0</v>
      </c>
      <c r="G68" s="280">
        <v>61</v>
      </c>
      <c r="H68" s="67" t="s">
        <v>77</v>
      </c>
      <c r="I68" s="139">
        <v>1</v>
      </c>
      <c r="J68" s="67" t="s">
        <v>67</v>
      </c>
      <c r="K68" s="129">
        <v>114</v>
      </c>
      <c r="L68" s="67" t="s">
        <v>41</v>
      </c>
      <c r="M68" s="280">
        <f t="shared" ref="M68:M70" si="16">ROUND((G68*I68*K68),0)</f>
        <v>6954</v>
      </c>
      <c r="N68" s="67" t="s">
        <v>37</v>
      </c>
      <c r="O68" s="70">
        <f t="shared" ref="O68:O70" si="17">ROUNDUP((M68),-1)</f>
        <v>6960</v>
      </c>
      <c r="P68" s="71" t="s">
        <v>37</v>
      </c>
      <c r="Q68" s="72"/>
      <c r="R68" s="61"/>
      <c r="S68" s="72"/>
      <c r="T68" s="485"/>
      <c r="U68" s="485"/>
      <c r="V68" s="485"/>
      <c r="W68" s="279" t="str">
        <f>""&amp;TEXT($G$78,"0,0")&amp;" шт. х "&amp;TEXT($I$78,"0,0")&amp;" раз х "&amp;TEXT(ROUND((K68),2),"000,00")&amp;" руб. = "&amp;TEXT(ROUND((M68),2),"000,00")&amp;" руб. = "&amp;TEXT(O68,"0 000,00")&amp;" руб."</f>
        <v>1,0 шт. х 1,0 раз х 114,00 руб. = 6954,00 руб. = 6 960,00 руб.</v>
      </c>
    </row>
    <row r="69" spans="1:23" ht="19.5" customHeight="1" x14ac:dyDescent="0.25">
      <c r="A69" s="504"/>
      <c r="B69" s="506"/>
      <c r="C69" s="64"/>
      <c r="D69" s="379"/>
      <c r="E69" s="384"/>
      <c r="F69" s="68">
        <f>F10</f>
        <v>0</v>
      </c>
      <c r="G69" s="280">
        <v>61</v>
      </c>
      <c r="H69" s="67" t="s">
        <v>77</v>
      </c>
      <c r="I69" s="139">
        <v>1</v>
      </c>
      <c r="J69" s="67" t="s">
        <v>67</v>
      </c>
      <c r="K69" s="129">
        <f>K68*1.0487</f>
        <v>119.5518</v>
      </c>
      <c r="L69" s="67" t="s">
        <v>41</v>
      </c>
      <c r="M69" s="280">
        <f t="shared" si="16"/>
        <v>7293</v>
      </c>
      <c r="N69" s="67" t="s">
        <v>37</v>
      </c>
      <c r="O69" s="70">
        <f t="shared" si="17"/>
        <v>7300</v>
      </c>
      <c r="P69" s="71" t="s">
        <v>37</v>
      </c>
      <c r="Q69" s="72"/>
      <c r="R69" s="61"/>
      <c r="S69" s="72"/>
      <c r="T69" s="485"/>
      <c r="U69" s="485"/>
      <c r="V69" s="485"/>
      <c r="W69" s="279" t="str">
        <f>""&amp;TEXT($G$79,"0,0")&amp;" шт. х "&amp;TEXT($I$37,"0,0")&amp;" раз х "&amp;TEXT(ROUND((K69),2),"000,00")&amp;" руб. = "&amp;TEXT(ROUND((M69),2),"000,00")&amp;" руб. = "&amp;TEXT(O69,"0 000,00")&amp;" руб."</f>
        <v>1,0 шт. х 1,0 раз х 119,55 руб. = 7293,00 руб. = 7 300,00 руб.</v>
      </c>
    </row>
    <row r="70" spans="1:23" ht="19.5" customHeight="1" x14ac:dyDescent="0.25">
      <c r="A70" s="504"/>
      <c r="B70" s="506"/>
      <c r="C70" s="64"/>
      <c r="D70" s="379"/>
      <c r="E70" s="384"/>
      <c r="F70" s="68">
        <f>F11</f>
        <v>0</v>
      </c>
      <c r="G70" s="280">
        <v>61</v>
      </c>
      <c r="H70" s="67" t="s">
        <v>77</v>
      </c>
      <c r="I70" s="139">
        <v>1</v>
      </c>
      <c r="J70" s="67" t="s">
        <v>67</v>
      </c>
      <c r="K70" s="129">
        <f>K69*1.0457</f>
        <v>125.01531726</v>
      </c>
      <c r="L70" s="67" t="s">
        <v>41</v>
      </c>
      <c r="M70" s="280">
        <f t="shared" si="16"/>
        <v>7626</v>
      </c>
      <c r="N70" s="67" t="s">
        <v>37</v>
      </c>
      <c r="O70" s="70">
        <f t="shared" si="17"/>
        <v>7630</v>
      </c>
      <c r="P70" s="71" t="s">
        <v>37</v>
      </c>
      <c r="Q70" s="70"/>
      <c r="R70" s="61"/>
      <c r="S70" s="71"/>
      <c r="T70" s="486"/>
      <c r="U70" s="486"/>
      <c r="V70" s="486"/>
      <c r="W70" s="279" t="str">
        <f>""&amp;TEXT($G$80,"0,0")&amp;" шт. х "&amp;TEXT($I$37,"0,0")&amp;" раз х "&amp;TEXT(ROUND((K70),2),"000,00")&amp;" руб. = "&amp;TEXT(ROUND((M70),2),"000,00")&amp;" руб. = "&amp;TEXT(O70,"0 000,00")&amp;" руб."</f>
        <v>1,0 шт. х 1,0 раз х 125,02 руб. = 7626,00 руб. = 7 630,00 руб.</v>
      </c>
    </row>
    <row r="71" spans="1:23" s="75" customFormat="1" ht="119.25" customHeight="1" x14ac:dyDescent="0.25">
      <c r="A71" s="504" t="s">
        <v>347</v>
      </c>
      <c r="B71" s="505" t="s">
        <v>348</v>
      </c>
      <c r="C71" s="56"/>
      <c r="D71" s="378">
        <v>225</v>
      </c>
      <c r="E71" s="378">
        <v>244</v>
      </c>
      <c r="F71" s="380" t="s">
        <v>246</v>
      </c>
      <c r="G71" s="380"/>
      <c r="H71" s="380"/>
      <c r="I71" s="380"/>
      <c r="J71" s="380"/>
      <c r="K71" s="380"/>
      <c r="L71" s="380"/>
      <c r="M71" s="380"/>
      <c r="N71" s="380"/>
      <c r="O71" s="380"/>
      <c r="P71" s="380"/>
      <c r="Q71" s="380"/>
      <c r="R71" s="380"/>
      <c r="S71" s="313"/>
      <c r="T71" s="485">
        <f>O73</f>
        <v>30480</v>
      </c>
      <c r="U71" s="485">
        <f>O74</f>
        <v>31970</v>
      </c>
      <c r="V71" s="485">
        <f>O75</f>
        <v>33430</v>
      </c>
      <c r="W71" s="312" t="s">
        <v>362</v>
      </c>
    </row>
    <row r="72" spans="1:23" ht="15" customHeight="1" outlineLevel="1" x14ac:dyDescent="0.25">
      <c r="A72" s="504"/>
      <c r="B72" s="506"/>
      <c r="C72" s="64"/>
      <c r="D72" s="379"/>
      <c r="E72" s="384"/>
      <c r="F72" s="61"/>
      <c r="G72" s="313"/>
      <c r="H72" s="67"/>
      <c r="I72" s="139"/>
      <c r="J72" s="67" t="s">
        <v>67</v>
      </c>
      <c r="K72" s="313"/>
      <c r="L72" s="67" t="s">
        <v>41</v>
      </c>
      <c r="M72" s="313">
        <f>ROUND((G72*I72*K72),0)</f>
        <v>0</v>
      </c>
      <c r="N72" s="67" t="s">
        <v>37</v>
      </c>
      <c r="O72" s="70">
        <f>ROUNDUP((M72),-1)</f>
        <v>0</v>
      </c>
      <c r="P72" s="71" t="s">
        <v>37</v>
      </c>
      <c r="Q72" s="78"/>
      <c r="R72" s="61"/>
      <c r="S72" s="65"/>
      <c r="T72" s="485"/>
      <c r="U72" s="485"/>
      <c r="V72" s="485"/>
      <c r="W72" s="312"/>
    </row>
    <row r="73" spans="1:23" ht="18" customHeight="1" x14ac:dyDescent="0.25">
      <c r="A73" s="504"/>
      <c r="B73" s="506"/>
      <c r="C73" s="64"/>
      <c r="D73" s="379"/>
      <c r="E73" s="384"/>
      <c r="F73" s="68">
        <f>F9</f>
        <v>0</v>
      </c>
      <c r="G73" s="313">
        <v>61</v>
      </c>
      <c r="H73" s="67" t="s">
        <v>77</v>
      </c>
      <c r="I73" s="139">
        <v>1</v>
      </c>
      <c r="J73" s="67" t="s">
        <v>67</v>
      </c>
      <c r="K73" s="129">
        <v>499.67</v>
      </c>
      <c r="L73" s="67" t="s">
        <v>41</v>
      </c>
      <c r="M73" s="313">
        <f t="shared" ref="M73:M75" si="18">ROUND((G73*I73*K73),0)</f>
        <v>30480</v>
      </c>
      <c r="N73" s="67" t="s">
        <v>37</v>
      </c>
      <c r="O73" s="70">
        <f t="shared" ref="O73:O75" si="19">ROUNDUP((M73),-1)</f>
        <v>30480</v>
      </c>
      <c r="P73" s="71" t="s">
        <v>37</v>
      </c>
      <c r="Q73" s="72"/>
      <c r="R73" s="61"/>
      <c r="S73" s="72"/>
      <c r="T73" s="485"/>
      <c r="U73" s="485"/>
      <c r="V73" s="485"/>
      <c r="W73" s="312" t="str">
        <f>""&amp;TEXT($G$78,"0,0")&amp;" шт. х "&amp;TEXT($I$78,"0,0")&amp;" раз х "&amp;TEXT(ROUND((K73),2),"000,00")&amp;" руб. = "&amp;TEXT(ROUND((M73),2),"000,00")&amp;" руб. = "&amp;TEXT(O73,"0 000,00")&amp;" руб."</f>
        <v>1,0 шт. х 1,0 раз х 499,67 руб. = 30480,00 руб. = 30 480,00 руб.</v>
      </c>
    </row>
    <row r="74" spans="1:23" ht="19.5" customHeight="1" x14ac:dyDescent="0.25">
      <c r="A74" s="504"/>
      <c r="B74" s="506"/>
      <c r="C74" s="64"/>
      <c r="D74" s="379"/>
      <c r="E74" s="384"/>
      <c r="F74" s="68">
        <f>F10</f>
        <v>0</v>
      </c>
      <c r="G74" s="313">
        <v>61</v>
      </c>
      <c r="H74" s="67" t="s">
        <v>77</v>
      </c>
      <c r="I74" s="139">
        <v>1</v>
      </c>
      <c r="J74" s="67" t="s">
        <v>67</v>
      </c>
      <c r="K74" s="129">
        <f>K73*1.0487</f>
        <v>524.00392899999997</v>
      </c>
      <c r="L74" s="67" t="s">
        <v>41</v>
      </c>
      <c r="M74" s="313">
        <f t="shared" si="18"/>
        <v>31964</v>
      </c>
      <c r="N74" s="67" t="s">
        <v>37</v>
      </c>
      <c r="O74" s="70">
        <f t="shared" si="19"/>
        <v>31970</v>
      </c>
      <c r="P74" s="71" t="s">
        <v>37</v>
      </c>
      <c r="Q74" s="72"/>
      <c r="R74" s="61"/>
      <c r="S74" s="72"/>
      <c r="T74" s="485"/>
      <c r="U74" s="485"/>
      <c r="V74" s="485"/>
      <c r="W74" s="312" t="str">
        <f>""&amp;TEXT($G$79,"0,0")&amp;" шт. х "&amp;TEXT($I$37,"0,0")&amp;" раз х "&amp;TEXT(ROUND((K74),2),"000,00")&amp;" руб. = "&amp;TEXT(ROUND((M74),2),"000,00")&amp;" руб. = "&amp;TEXT(O74,"0 000,00")&amp;" руб."</f>
        <v>1,0 шт. х 1,0 раз х 524,00 руб. = 31964,00 руб. = 31 970,00 руб.</v>
      </c>
    </row>
    <row r="75" spans="1:23" ht="19.5" customHeight="1" x14ac:dyDescent="0.25">
      <c r="A75" s="504"/>
      <c r="B75" s="506"/>
      <c r="C75" s="64"/>
      <c r="D75" s="379"/>
      <c r="E75" s="384"/>
      <c r="F75" s="68">
        <f>F11</f>
        <v>0</v>
      </c>
      <c r="G75" s="313">
        <v>61</v>
      </c>
      <c r="H75" s="67" t="s">
        <v>77</v>
      </c>
      <c r="I75" s="139">
        <v>1</v>
      </c>
      <c r="J75" s="67" t="s">
        <v>67</v>
      </c>
      <c r="K75" s="129">
        <f>K74*1.0457</f>
        <v>547.95090855529997</v>
      </c>
      <c r="L75" s="67" t="s">
        <v>41</v>
      </c>
      <c r="M75" s="313">
        <f t="shared" si="18"/>
        <v>33425</v>
      </c>
      <c r="N75" s="67" t="s">
        <v>37</v>
      </c>
      <c r="O75" s="70">
        <f t="shared" si="19"/>
        <v>33430</v>
      </c>
      <c r="P75" s="71" t="s">
        <v>37</v>
      </c>
      <c r="Q75" s="70"/>
      <c r="R75" s="61"/>
      <c r="S75" s="71"/>
      <c r="T75" s="486"/>
      <c r="U75" s="486"/>
      <c r="V75" s="486"/>
      <c r="W75" s="312" t="str">
        <f>""&amp;TEXT($G$80,"0,0")&amp;" шт. х "&amp;TEXT($I$37,"0,0")&amp;" раз х "&amp;TEXT(ROUND((K75),2),"000,00")&amp;" руб. = "&amp;TEXT(ROUND((M75),2),"000,00")&amp;" руб. = "&amp;TEXT(O75,"0 000,00")&amp;" руб."</f>
        <v>1,0 шт. х 1,0 раз х 547,95 руб. = 33425,00 руб. = 33 430,00 руб.</v>
      </c>
    </row>
    <row r="76" spans="1:23" s="75" customFormat="1" ht="119.25" customHeight="1" x14ac:dyDescent="0.25">
      <c r="A76" s="521" t="s">
        <v>371</v>
      </c>
      <c r="B76" s="505" t="s">
        <v>372</v>
      </c>
      <c r="C76" s="56"/>
      <c r="D76" s="378">
        <v>225</v>
      </c>
      <c r="E76" s="378">
        <v>244</v>
      </c>
      <c r="F76" s="380" t="s">
        <v>246</v>
      </c>
      <c r="G76" s="380"/>
      <c r="H76" s="380"/>
      <c r="I76" s="380"/>
      <c r="J76" s="380"/>
      <c r="K76" s="380"/>
      <c r="L76" s="380"/>
      <c r="M76" s="380"/>
      <c r="N76" s="380"/>
      <c r="O76" s="380"/>
      <c r="P76" s="380"/>
      <c r="Q76" s="380"/>
      <c r="R76" s="380"/>
      <c r="S76" s="286"/>
      <c r="T76" s="485">
        <f>O78</f>
        <v>159000</v>
      </c>
      <c r="U76" s="485">
        <f>O79</f>
        <v>166750</v>
      </c>
      <c r="V76" s="485">
        <f>O80</f>
        <v>174370</v>
      </c>
      <c r="W76" s="285" t="s">
        <v>373</v>
      </c>
    </row>
    <row r="77" spans="1:23" ht="15" customHeight="1" outlineLevel="1" x14ac:dyDescent="0.25">
      <c r="A77" s="521"/>
      <c r="B77" s="506"/>
      <c r="C77" s="64"/>
      <c r="D77" s="379"/>
      <c r="E77" s="384"/>
      <c r="F77" s="61"/>
      <c r="G77" s="286"/>
      <c r="H77" s="67"/>
      <c r="I77" s="139"/>
      <c r="J77" s="67" t="s">
        <v>67</v>
      </c>
      <c r="K77" s="286"/>
      <c r="L77" s="67" t="s">
        <v>41</v>
      </c>
      <c r="M77" s="286">
        <f>ROUND((G77*I77*K77),0)</f>
        <v>0</v>
      </c>
      <c r="N77" s="67" t="s">
        <v>37</v>
      </c>
      <c r="O77" s="70">
        <f>ROUNDUP((M77),-1)</f>
        <v>0</v>
      </c>
      <c r="P77" s="71" t="s">
        <v>37</v>
      </c>
      <c r="Q77" s="78"/>
      <c r="R77" s="61"/>
      <c r="S77" s="65"/>
      <c r="T77" s="485"/>
      <c r="U77" s="485"/>
      <c r="V77" s="485"/>
      <c r="W77" s="285"/>
    </row>
    <row r="78" spans="1:23" ht="18" customHeight="1" x14ac:dyDescent="0.25">
      <c r="A78" s="521"/>
      <c r="B78" s="506"/>
      <c r="C78" s="64"/>
      <c r="D78" s="379"/>
      <c r="E78" s="384"/>
      <c r="F78" s="68" t="str">
        <f>F14</f>
        <v>норматив на 2023 год :</v>
      </c>
      <c r="G78" s="286">
        <v>1</v>
      </c>
      <c r="H78" s="67" t="s">
        <v>77</v>
      </c>
      <c r="I78" s="139">
        <v>1</v>
      </c>
      <c r="J78" s="67" t="s">
        <v>67</v>
      </c>
      <c r="K78" s="129">
        <v>158999.93</v>
      </c>
      <c r="L78" s="67" t="s">
        <v>41</v>
      </c>
      <c r="M78" s="286">
        <f t="shared" ref="M78:M80" si="20">ROUND((G78*I78*K78),0)</f>
        <v>159000</v>
      </c>
      <c r="N78" s="67" t="s">
        <v>37</v>
      </c>
      <c r="O78" s="70">
        <f t="shared" ref="O78:O80" si="21">ROUNDUP((M78),-1)</f>
        <v>159000</v>
      </c>
      <c r="P78" s="71" t="s">
        <v>37</v>
      </c>
      <c r="Q78" s="72"/>
      <c r="R78" s="61"/>
      <c r="S78" s="72"/>
      <c r="T78" s="485"/>
      <c r="U78" s="485"/>
      <c r="V78" s="485"/>
      <c r="W78" s="285" t="str">
        <f>""&amp;TEXT($G$78,"0,0")&amp;" шт. х "&amp;TEXT($I$78,"0,0")&amp;" раз х "&amp;TEXT(ROUND((K78),2),"000,00")&amp;" руб. = "&amp;TEXT(ROUND((M78),2),"000,00")&amp;" руб. = "&amp;TEXT(O78,"0 000,00")&amp;" руб."</f>
        <v>1,0 шт. х 1,0 раз х 158999,93 руб. = 159000,00 руб. = 159 000,00 руб.</v>
      </c>
    </row>
    <row r="79" spans="1:23" ht="19.5" customHeight="1" x14ac:dyDescent="0.25">
      <c r="A79" s="521"/>
      <c r="B79" s="506"/>
      <c r="C79" s="64"/>
      <c r="D79" s="379"/>
      <c r="E79" s="384"/>
      <c r="F79" s="68" t="str">
        <f>F15</f>
        <v>норматив на 2024 год :</v>
      </c>
      <c r="G79" s="286">
        <v>1</v>
      </c>
      <c r="H79" s="67" t="s">
        <v>77</v>
      </c>
      <c r="I79" s="139">
        <v>1</v>
      </c>
      <c r="J79" s="67" t="s">
        <v>67</v>
      </c>
      <c r="K79" s="129">
        <f>K78*1.0487</f>
        <v>166743.22659099998</v>
      </c>
      <c r="L79" s="67" t="s">
        <v>41</v>
      </c>
      <c r="M79" s="286">
        <f t="shared" si="20"/>
        <v>166743</v>
      </c>
      <c r="N79" s="67" t="s">
        <v>37</v>
      </c>
      <c r="O79" s="70">
        <f t="shared" si="21"/>
        <v>166750</v>
      </c>
      <c r="P79" s="71" t="s">
        <v>37</v>
      </c>
      <c r="Q79" s="72"/>
      <c r="R79" s="61"/>
      <c r="S79" s="72"/>
      <c r="T79" s="485"/>
      <c r="U79" s="485"/>
      <c r="V79" s="485"/>
      <c r="W79" s="285" t="str">
        <f>""&amp;TEXT($G$79,"0,0")&amp;" шт. х "&amp;TEXT($I$37,"0,0")&amp;" раз х "&amp;TEXT(ROUND((K79),2),"000,00")&amp;" руб. = "&amp;TEXT(ROUND((M79),2),"000,00")&amp;" руб. = "&amp;TEXT(O79,"0 000,00")&amp;" руб."</f>
        <v>1,0 шт. х 1,0 раз х 166743,23 руб. = 166743,00 руб. = 166 750,00 руб.</v>
      </c>
    </row>
    <row r="80" spans="1:23" ht="19.5" customHeight="1" x14ac:dyDescent="0.25">
      <c r="A80" s="521"/>
      <c r="B80" s="506"/>
      <c r="C80" s="64"/>
      <c r="D80" s="379"/>
      <c r="E80" s="384"/>
      <c r="F80" s="68" t="str">
        <f>F16</f>
        <v>норматив на 2025 год :</v>
      </c>
      <c r="G80" s="286">
        <v>1</v>
      </c>
      <c r="H80" s="67" t="s">
        <v>77</v>
      </c>
      <c r="I80" s="139">
        <v>1</v>
      </c>
      <c r="J80" s="67" t="s">
        <v>67</v>
      </c>
      <c r="K80" s="129">
        <f>K79*1.0457</f>
        <v>174363.3920462087</v>
      </c>
      <c r="L80" s="67" t="s">
        <v>41</v>
      </c>
      <c r="M80" s="286">
        <f t="shared" si="20"/>
        <v>174363</v>
      </c>
      <c r="N80" s="67" t="s">
        <v>37</v>
      </c>
      <c r="O80" s="70">
        <f t="shared" si="21"/>
        <v>174370</v>
      </c>
      <c r="P80" s="71" t="s">
        <v>37</v>
      </c>
      <c r="Q80" s="70"/>
      <c r="R80" s="61"/>
      <c r="S80" s="71"/>
      <c r="T80" s="486"/>
      <c r="U80" s="486"/>
      <c r="V80" s="486"/>
      <c r="W80" s="285" t="str">
        <f>""&amp;TEXT($G$80,"0,0")&amp;" шт. х "&amp;TEXT($I$37,"0,0")&amp;" раз х "&amp;TEXT(ROUND((K80),2),"000,00")&amp;" руб. = "&amp;TEXT(ROUND((M80),2),"000,00")&amp;" руб. = "&amp;TEXT(O80,"0 000,00")&amp;" руб."</f>
        <v>1,0 шт. х 1,0 раз х 174363,39 руб. = 174363,00 руб. = 174 370,00 руб.</v>
      </c>
    </row>
    <row r="81" spans="1:23" ht="139.5" customHeight="1" x14ac:dyDescent="0.25">
      <c r="A81" s="281" t="s">
        <v>12</v>
      </c>
      <c r="B81" s="310" t="s">
        <v>365</v>
      </c>
      <c r="C81" s="88"/>
      <c r="D81" s="248" t="s">
        <v>35</v>
      </c>
      <c r="E81" s="248" t="s">
        <v>35</v>
      </c>
      <c r="F81" s="423"/>
      <c r="G81" s="424"/>
      <c r="H81" s="424"/>
      <c r="I81" s="424"/>
      <c r="J81" s="424"/>
      <c r="K81" s="424"/>
      <c r="L81" s="424"/>
      <c r="M81" s="424"/>
      <c r="N81" s="424"/>
      <c r="O81" s="424"/>
      <c r="P81" s="424"/>
      <c r="Q81" s="424"/>
      <c r="R81" s="424"/>
      <c r="S81" s="424"/>
      <c r="T81" s="255">
        <f>T82+T86+T91+T96+T101</f>
        <v>619210</v>
      </c>
      <c r="U81" s="255">
        <f t="shared" ref="U81:V81" si="22">U82+U86+U91+U96+U101</f>
        <v>648900</v>
      </c>
      <c r="V81" s="255">
        <f t="shared" si="22"/>
        <v>678450</v>
      </c>
      <c r="W81" s="307" t="str">
        <f>"Нормативные " &amp;TEXT(B81,"0")&amp;" включают в себя:
нормативные "&amp;TEXT(B82,"0")&amp;";
нормативные "&amp;TEXT(B86,"0")&amp;"; нормативные "&amp;TEXT(B91,"0")&amp;";
нормативные "&amp;TEXT(B96,"0")&amp;";
нормативные "&amp;TEXT(B101,"0")&amp;""</f>
        <v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 включают в себя:
нормативные затраты на приобретение периодических печатных изданий;
нормативные затраты на проведение периодического медицинского осмотра; нормативные затраты на проведение предрейсового медицинского осмотра;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82" spans="1:23" ht="105.75" customHeight="1" x14ac:dyDescent="0.25">
      <c r="A82" s="520" t="s">
        <v>13</v>
      </c>
      <c r="B82" s="376" t="s">
        <v>103</v>
      </c>
      <c r="C82" s="64"/>
      <c r="D82" s="378">
        <v>226</v>
      </c>
      <c r="E82" s="378">
        <v>244</v>
      </c>
      <c r="F82" s="380" t="s">
        <v>247</v>
      </c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65"/>
      <c r="T82" s="381">
        <f>O83</f>
        <v>429410</v>
      </c>
      <c r="U82" s="381">
        <f>O84</f>
        <v>449860</v>
      </c>
      <c r="V82" s="381">
        <f>O85</f>
        <v>470310</v>
      </c>
      <c r="W82" s="274" t="s">
        <v>51</v>
      </c>
    </row>
    <row r="83" spans="1:23" ht="21.75" customHeight="1" x14ac:dyDescent="0.25">
      <c r="A83" s="520"/>
      <c r="B83" s="377"/>
      <c r="C83" s="64"/>
      <c r="D83" s="379"/>
      <c r="E83" s="379"/>
      <c r="F83" s="68" t="str">
        <f>F14</f>
        <v>норматив на 2023 год :</v>
      </c>
      <c r="G83" s="275">
        <v>213</v>
      </c>
      <c r="H83" s="67" t="s">
        <v>48</v>
      </c>
      <c r="I83" s="311">
        <v>168</v>
      </c>
      <c r="J83" s="67" t="s">
        <v>49</v>
      </c>
      <c r="K83" s="140">
        <v>12</v>
      </c>
      <c r="L83" s="67" t="s">
        <v>50</v>
      </c>
      <c r="M83" s="275">
        <f t="shared" ref="M83:M85" si="23">ROUND((G83*I83*K83),0)</f>
        <v>429408</v>
      </c>
      <c r="N83" s="67" t="s">
        <v>41</v>
      </c>
      <c r="O83" s="70">
        <f>ROUNDUP((M83),-1)</f>
        <v>429410</v>
      </c>
      <c r="P83" s="71" t="s">
        <v>37</v>
      </c>
      <c r="Q83" s="67"/>
      <c r="R83" s="65"/>
      <c r="S83" s="65"/>
      <c r="T83" s="381"/>
      <c r="U83" s="381"/>
      <c r="V83" s="381"/>
      <c r="W83" s="274" t="str">
        <f>""&amp;TEXT(G83,"000,00")&amp;" шт.ед. х норматив "&amp;TEXT(I83,"0,00")&amp;" руб. х "&amp;TEXT(K83,"00,0")&amp;" мес.  = "&amp;TEXT(M83,"0 000,00")&amp;" руб. = "&amp;TEXT(O83,"0 000,00")&amp;" руб."</f>
        <v>213,00 шт.ед. х норматив 168,00 руб. х 12,0 мес.  = 429 408,00 руб. = 429 410,00 руб.</v>
      </c>
    </row>
    <row r="84" spans="1:23" ht="20.25" customHeight="1" x14ac:dyDescent="0.25">
      <c r="A84" s="520"/>
      <c r="B84" s="377"/>
      <c r="C84" s="64"/>
      <c r="D84" s="379"/>
      <c r="E84" s="379"/>
      <c r="F84" s="68" t="str">
        <f>F15</f>
        <v>норматив на 2024 год :</v>
      </c>
      <c r="G84" s="275">
        <v>213</v>
      </c>
      <c r="H84" s="67" t="s">
        <v>48</v>
      </c>
      <c r="I84" s="311">
        <v>176</v>
      </c>
      <c r="J84" s="67" t="s">
        <v>49</v>
      </c>
      <c r="K84" s="140">
        <v>12</v>
      </c>
      <c r="L84" s="67" t="s">
        <v>50</v>
      </c>
      <c r="M84" s="275">
        <f t="shared" si="23"/>
        <v>449856</v>
      </c>
      <c r="N84" s="67" t="s">
        <v>41</v>
      </c>
      <c r="O84" s="70">
        <f t="shared" ref="O84:O85" si="24">ROUNDUP((M84),-1)</f>
        <v>449860</v>
      </c>
      <c r="P84" s="71" t="s">
        <v>37</v>
      </c>
      <c r="Q84" s="67"/>
      <c r="R84" s="65"/>
      <c r="S84" s="65"/>
      <c r="T84" s="381"/>
      <c r="U84" s="381"/>
      <c r="V84" s="381"/>
      <c r="W84" s="274" t="str">
        <f t="shared" ref="W84:W85" si="25">""&amp;TEXT(G84,"000,00")&amp;" шт.ед. х норматив "&amp;TEXT(I84,"0,00")&amp;" руб. х "&amp;TEXT(K84,"00,0")&amp;" мес.  = "&amp;TEXT(M84,"0 000,00")&amp;" руб. = "&amp;TEXT(O84,"0 000,00")&amp;" руб."</f>
        <v>213,00 шт.ед. х норматив 176,00 руб. х 12,0 мес.  = 449 856,00 руб. = 449 860,00 руб.</v>
      </c>
    </row>
    <row r="85" spans="1:23" ht="22.5" customHeight="1" x14ac:dyDescent="0.25">
      <c r="A85" s="520"/>
      <c r="B85" s="377"/>
      <c r="C85" s="64"/>
      <c r="D85" s="379"/>
      <c r="E85" s="379"/>
      <c r="F85" s="68" t="str">
        <f>F16</f>
        <v>норматив на 2025 год :</v>
      </c>
      <c r="G85" s="275">
        <v>213</v>
      </c>
      <c r="H85" s="67" t="s">
        <v>48</v>
      </c>
      <c r="I85" s="311">
        <v>184</v>
      </c>
      <c r="J85" s="67" t="s">
        <v>49</v>
      </c>
      <c r="K85" s="140">
        <v>12</v>
      </c>
      <c r="L85" s="67" t="s">
        <v>50</v>
      </c>
      <c r="M85" s="275">
        <f t="shared" si="23"/>
        <v>470304</v>
      </c>
      <c r="N85" s="67" t="s">
        <v>41</v>
      </c>
      <c r="O85" s="70">
        <f t="shared" si="24"/>
        <v>470310</v>
      </c>
      <c r="P85" s="71" t="s">
        <v>37</v>
      </c>
      <c r="Q85" s="67"/>
      <c r="R85" s="65"/>
      <c r="S85" s="65"/>
      <c r="T85" s="381"/>
      <c r="U85" s="381"/>
      <c r="V85" s="381"/>
      <c r="W85" s="274" t="str">
        <f t="shared" si="25"/>
        <v>213,00 шт.ед. х норматив 184,00 руб. х 12,0 мес.  = 470 304,00 руб. = 470 310,00 руб.</v>
      </c>
    </row>
    <row r="86" spans="1:23" ht="124.5" customHeight="1" x14ac:dyDescent="0.25">
      <c r="A86" s="383" t="s">
        <v>30</v>
      </c>
      <c r="B86" s="376" t="s">
        <v>106</v>
      </c>
      <c r="C86" s="64"/>
      <c r="D86" s="378">
        <v>226</v>
      </c>
      <c r="E86" s="378">
        <v>244</v>
      </c>
      <c r="F86" s="380" t="s">
        <v>248</v>
      </c>
      <c r="G86" s="380"/>
      <c r="H86" s="380"/>
      <c r="I86" s="380"/>
      <c r="J86" s="380"/>
      <c r="K86" s="380"/>
      <c r="L86" s="380"/>
      <c r="M86" s="380"/>
      <c r="N86" s="380"/>
      <c r="O86" s="380"/>
      <c r="P86" s="380"/>
      <c r="Q86" s="380"/>
      <c r="R86" s="380"/>
      <c r="S86" s="65"/>
      <c r="T86" s="485">
        <f>O88</f>
        <v>2710</v>
      </c>
      <c r="U86" s="482">
        <f>O89</f>
        <v>2840</v>
      </c>
      <c r="V86" s="485">
        <f>O90</f>
        <v>2970</v>
      </c>
      <c r="W86" s="274" t="s">
        <v>74</v>
      </c>
    </row>
    <row r="87" spans="1:23" ht="20.25" customHeight="1" outlineLevel="1" x14ac:dyDescent="0.25">
      <c r="A87" s="383"/>
      <c r="B87" s="377"/>
      <c r="C87" s="64"/>
      <c r="D87" s="379"/>
      <c r="E87" s="384"/>
      <c r="F87" s="61">
        <v>2022</v>
      </c>
      <c r="G87" s="275">
        <v>1</v>
      </c>
      <c r="H87" s="67" t="s">
        <v>252</v>
      </c>
      <c r="I87" s="275">
        <v>1</v>
      </c>
      <c r="J87" s="67" t="s">
        <v>73</v>
      </c>
      <c r="K87" s="275">
        <v>2500</v>
      </c>
      <c r="L87" s="67" t="s">
        <v>41</v>
      </c>
      <c r="M87" s="275">
        <f>ROUND((G87*I87*K87),0)</f>
        <v>2500</v>
      </c>
      <c r="N87" s="67" t="s">
        <v>37</v>
      </c>
      <c r="O87" s="70">
        <f>ROUNDUP((M87),-1)</f>
        <v>2500</v>
      </c>
      <c r="P87" s="71" t="s">
        <v>37</v>
      </c>
      <c r="Q87" s="67"/>
      <c r="R87" s="65"/>
      <c r="S87" s="65"/>
      <c r="T87" s="485"/>
      <c r="U87" s="483"/>
      <c r="V87" s="485"/>
    </row>
    <row r="88" spans="1:23" ht="15" x14ac:dyDescent="0.25">
      <c r="A88" s="383"/>
      <c r="B88" s="377"/>
      <c r="C88" s="64"/>
      <c r="D88" s="379"/>
      <c r="E88" s="384"/>
      <c r="F88" s="68" t="str">
        <f>F14</f>
        <v>норматив на 2023 год :</v>
      </c>
      <c r="G88" s="275">
        <v>1</v>
      </c>
      <c r="H88" s="65" t="s">
        <v>252</v>
      </c>
      <c r="I88" s="69">
        <v>1</v>
      </c>
      <c r="J88" s="67" t="str">
        <f>J87</f>
        <v>раз х средняя цена</v>
      </c>
      <c r="K88" s="275">
        <f>K87*1.0822</f>
        <v>2705.5</v>
      </c>
      <c r="L88" s="67" t="s">
        <v>41</v>
      </c>
      <c r="M88" s="275">
        <f t="shared" ref="M88:M90" si="26">ROUND((G88*I88*K88),0)</f>
        <v>2706</v>
      </c>
      <c r="N88" s="71" t="s">
        <v>37</v>
      </c>
      <c r="O88" s="70">
        <f t="shared" ref="O88:O90" si="27">ROUNDUP((M88),-1)</f>
        <v>2710</v>
      </c>
      <c r="P88" s="71" t="s">
        <v>37</v>
      </c>
      <c r="Q88" s="72"/>
      <c r="R88" s="71"/>
      <c r="S88" s="65"/>
      <c r="T88" s="485"/>
      <c r="U88" s="483"/>
      <c r="V88" s="485"/>
      <c r="W88" s="274" t="str">
        <f>""&amp;TEXT(G88,"0,0")&amp;" чел. х "&amp;TEXT(I88,"0,0")&amp;" раз х "&amp;TEXT(ROUND((K88),2),"0 000,00")&amp;" руб. = "&amp;TEXT(ROUND((M88),2),"0 000,00")&amp;" руб. = "&amp;TEXT(O88,"0 000,00")&amp;" руб."</f>
        <v>1,0 чел. х 1,0 раз х 2 705,50 руб. = 2 706,00 руб. = 2 710,00 руб.</v>
      </c>
    </row>
    <row r="89" spans="1:23" ht="15" customHeight="1" outlineLevel="1" collapsed="1" x14ac:dyDescent="0.25">
      <c r="A89" s="383"/>
      <c r="B89" s="377"/>
      <c r="C89" s="64"/>
      <c r="D89" s="379"/>
      <c r="E89" s="384"/>
      <c r="F89" s="68" t="str">
        <f>F15</f>
        <v>норматив на 2024 год :</v>
      </c>
      <c r="G89" s="275">
        <v>1</v>
      </c>
      <c r="H89" s="67" t="str">
        <f>H88</f>
        <v xml:space="preserve">чел. </v>
      </c>
      <c r="I89" s="69">
        <v>1</v>
      </c>
      <c r="J89" s="67" t="str">
        <f>J87</f>
        <v>раз х средняя цена</v>
      </c>
      <c r="K89" s="275">
        <f>K88*1.0487</f>
        <v>2837.25785</v>
      </c>
      <c r="L89" s="67" t="s">
        <v>41</v>
      </c>
      <c r="M89" s="275">
        <f t="shared" si="26"/>
        <v>2837</v>
      </c>
      <c r="N89" s="71" t="s">
        <v>37</v>
      </c>
      <c r="O89" s="70">
        <f t="shared" si="27"/>
        <v>2840</v>
      </c>
      <c r="P89" s="71" t="s">
        <v>37</v>
      </c>
      <c r="Q89" s="93"/>
      <c r="R89" s="71"/>
      <c r="S89" s="65"/>
      <c r="T89" s="485"/>
      <c r="U89" s="483"/>
      <c r="V89" s="485"/>
      <c r="W89" s="274" t="str">
        <f t="shared" ref="W89:W90" si="28">""&amp;TEXT(G89,"0,0")&amp;" чел. х "&amp;TEXT(I89,"0,0")&amp;" раз х "&amp;TEXT(ROUND((K89),2),"0 000,00")&amp;" руб. = "&amp;TEXT(ROUND((M89),2),"0 000,00")&amp;" руб. = "&amp;TEXT(O89,"0 000,00")&amp;" руб."</f>
        <v>1,0 чел. х 1,0 раз х 2 837,26 руб. = 2 837,00 руб. = 2 840,00 руб.</v>
      </c>
    </row>
    <row r="90" spans="1:23" ht="15" x14ac:dyDescent="0.25">
      <c r="A90" s="383"/>
      <c r="B90" s="377"/>
      <c r="C90" s="64"/>
      <c r="D90" s="379"/>
      <c r="E90" s="384"/>
      <c r="F90" s="68" t="str">
        <f>F16</f>
        <v>норматив на 2025 год :</v>
      </c>
      <c r="G90" s="275">
        <v>1</v>
      </c>
      <c r="H90" s="67" t="str">
        <f>H88</f>
        <v xml:space="preserve">чел. </v>
      </c>
      <c r="I90" s="69">
        <v>1</v>
      </c>
      <c r="J90" s="67" t="str">
        <f>J87</f>
        <v>раз х средняя цена</v>
      </c>
      <c r="K90" s="275">
        <f>K89*1.0457</f>
        <v>2966.9205337450003</v>
      </c>
      <c r="L90" s="67" t="s">
        <v>41</v>
      </c>
      <c r="M90" s="275">
        <f t="shared" si="26"/>
        <v>2967</v>
      </c>
      <c r="N90" s="71" t="s">
        <v>37</v>
      </c>
      <c r="O90" s="70">
        <f t="shared" si="27"/>
        <v>2970</v>
      </c>
      <c r="P90" s="71" t="s">
        <v>37</v>
      </c>
      <c r="Q90" s="70"/>
      <c r="R90" s="71"/>
      <c r="S90" s="65"/>
      <c r="T90" s="486"/>
      <c r="U90" s="484"/>
      <c r="V90" s="486"/>
      <c r="W90" s="274" t="str">
        <f t="shared" si="28"/>
        <v>1,0 чел. х 1,0 раз х 2 966,92 руб. = 2 967,00 руб. = 2 970,00 руб.</v>
      </c>
    </row>
    <row r="91" spans="1:23" ht="120.75" customHeight="1" x14ac:dyDescent="0.25">
      <c r="A91" s="504" t="s">
        <v>31</v>
      </c>
      <c r="B91" s="505" t="s">
        <v>107</v>
      </c>
      <c r="C91" s="64"/>
      <c r="D91" s="378">
        <v>226</v>
      </c>
      <c r="E91" s="378">
        <v>244</v>
      </c>
      <c r="F91" s="380" t="s">
        <v>257</v>
      </c>
      <c r="G91" s="380"/>
      <c r="H91" s="380"/>
      <c r="I91" s="380"/>
      <c r="J91" s="380"/>
      <c r="K91" s="380"/>
      <c r="L91" s="380"/>
      <c r="M91" s="380"/>
      <c r="N91" s="380"/>
      <c r="O91" s="380"/>
      <c r="P91" s="380"/>
      <c r="Q91" s="380"/>
      <c r="R91" s="380"/>
      <c r="S91" s="65"/>
      <c r="T91" s="485">
        <f>O93</f>
        <v>29970</v>
      </c>
      <c r="U91" s="485">
        <f>O94</f>
        <v>31430</v>
      </c>
      <c r="V91" s="485">
        <f>O95</f>
        <v>32870</v>
      </c>
      <c r="W91" s="274" t="s">
        <v>69</v>
      </c>
    </row>
    <row r="92" spans="1:23" ht="17.25" customHeight="1" outlineLevel="1" x14ac:dyDescent="0.25">
      <c r="A92" s="504"/>
      <c r="B92" s="506"/>
      <c r="C92" s="64"/>
      <c r="D92" s="379"/>
      <c r="E92" s="384"/>
      <c r="F92" s="61">
        <v>2023</v>
      </c>
      <c r="G92" s="286">
        <v>1</v>
      </c>
      <c r="H92" s="67" t="s">
        <v>252</v>
      </c>
      <c r="I92" s="140">
        <v>222</v>
      </c>
      <c r="J92" s="67" t="s">
        <v>73</v>
      </c>
      <c r="K92" s="286"/>
      <c r="L92" s="67" t="s">
        <v>41</v>
      </c>
      <c r="M92" s="275">
        <f>ROUND((G92*I92*K92),0)</f>
        <v>0</v>
      </c>
      <c r="N92" s="67" t="s">
        <v>37</v>
      </c>
      <c r="O92" s="70">
        <f>ROUNDUP((M92),-1)</f>
        <v>0</v>
      </c>
      <c r="P92" s="71" t="s">
        <v>37</v>
      </c>
      <c r="Q92" s="67"/>
      <c r="R92" s="65"/>
      <c r="S92" s="65"/>
      <c r="T92" s="485"/>
      <c r="U92" s="485"/>
      <c r="V92" s="485"/>
    </row>
    <row r="93" spans="1:23" ht="18.75" customHeight="1" x14ac:dyDescent="0.25">
      <c r="A93" s="504"/>
      <c r="B93" s="506"/>
      <c r="C93" s="64"/>
      <c r="D93" s="379"/>
      <c r="E93" s="384"/>
      <c r="F93" s="68" t="str">
        <f>F14</f>
        <v>норматив на 2023 год :</v>
      </c>
      <c r="G93" s="286">
        <v>1</v>
      </c>
      <c r="H93" s="67" t="s">
        <v>252</v>
      </c>
      <c r="I93" s="140">
        <v>222</v>
      </c>
      <c r="J93" s="67" t="str">
        <f>J92</f>
        <v>раз х средняя цена</v>
      </c>
      <c r="K93" s="286">
        <v>135</v>
      </c>
      <c r="L93" s="67" t="s">
        <v>41</v>
      </c>
      <c r="M93" s="275">
        <f t="shared" ref="M93:M95" si="29">ROUND((G93*I93*K93),0)</f>
        <v>29970</v>
      </c>
      <c r="N93" s="71" t="s">
        <v>37</v>
      </c>
      <c r="O93" s="70">
        <f t="shared" ref="O93:O95" si="30">ROUNDUP((M93),-1)</f>
        <v>29970</v>
      </c>
      <c r="P93" s="71" t="s">
        <v>37</v>
      </c>
      <c r="Q93" s="70"/>
      <c r="R93" s="72"/>
      <c r="S93" s="65"/>
      <c r="T93" s="485"/>
      <c r="U93" s="485"/>
      <c r="V93" s="485"/>
      <c r="W93" s="274" t="str">
        <f>""&amp;TEXT(G93,"0,0")&amp;" чел. х "&amp;TEXT(I93,"0,0")&amp;" раз х "&amp;TEXT(ROUND((K93),2),"0,00")&amp;" руб. = "&amp;TEXT(ROUND((M93),2),"0 000,00")&amp;" руб. = "&amp;TEXT(O93,"0 000,00")&amp;" руб."</f>
        <v>1,0 чел. х 222,0 раз х 135,00 руб. = 29 970,00 руб. = 29 970,00 руб.</v>
      </c>
    </row>
    <row r="94" spans="1:23" ht="19.5" customHeight="1" x14ac:dyDescent="0.25">
      <c r="A94" s="504"/>
      <c r="B94" s="506"/>
      <c r="C94" s="64"/>
      <c r="D94" s="379"/>
      <c r="E94" s="384"/>
      <c r="F94" s="68" t="str">
        <f>F15</f>
        <v>норматив на 2024 год :</v>
      </c>
      <c r="G94" s="286">
        <v>1</v>
      </c>
      <c r="H94" s="67" t="str">
        <f>H93</f>
        <v xml:space="preserve">чел. </v>
      </c>
      <c r="I94" s="140">
        <v>222</v>
      </c>
      <c r="J94" s="67" t="str">
        <f>J92</f>
        <v>раз х средняя цена</v>
      </c>
      <c r="K94" s="286">
        <f>K93*1.0487</f>
        <v>141.5745</v>
      </c>
      <c r="L94" s="67" t="s">
        <v>41</v>
      </c>
      <c r="M94" s="275">
        <f t="shared" si="29"/>
        <v>31430</v>
      </c>
      <c r="N94" s="71" t="s">
        <v>37</v>
      </c>
      <c r="O94" s="70">
        <f t="shared" si="30"/>
        <v>31430</v>
      </c>
      <c r="P94" s="71" t="s">
        <v>37</v>
      </c>
      <c r="Q94" s="70"/>
      <c r="R94" s="72"/>
      <c r="S94" s="65"/>
      <c r="T94" s="485"/>
      <c r="U94" s="485"/>
      <c r="V94" s="485"/>
      <c r="W94" s="274" t="str">
        <f t="shared" ref="W94:W95" si="31">""&amp;TEXT(G94,"0,0")&amp;" чел. х "&amp;TEXT(I94,"0,0")&amp;" раз х "&amp;TEXT(ROUND((K94),2),"0,00")&amp;" руб. = "&amp;TEXT(ROUND((M94),2),"0 000,00")&amp;" руб. = "&amp;TEXT(O94,"0 000,00")&amp;" руб."</f>
        <v>1,0 чел. х 222,0 раз х 141,57 руб. = 31 430,00 руб. = 31 430,00 руб.</v>
      </c>
    </row>
    <row r="95" spans="1:23" ht="19.5" customHeight="1" x14ac:dyDescent="0.25">
      <c r="A95" s="504"/>
      <c r="B95" s="506"/>
      <c r="C95" s="64"/>
      <c r="D95" s="379"/>
      <c r="E95" s="384"/>
      <c r="F95" s="68" t="str">
        <f>F16</f>
        <v>норматив на 2025 год :</v>
      </c>
      <c r="G95" s="286">
        <v>1</v>
      </c>
      <c r="H95" s="67" t="str">
        <f>H93</f>
        <v xml:space="preserve">чел. </v>
      </c>
      <c r="I95" s="140">
        <v>222</v>
      </c>
      <c r="J95" s="67" t="str">
        <f>J92</f>
        <v>раз х средняя цена</v>
      </c>
      <c r="K95" s="286">
        <f>K94*1.0457</f>
        <v>148.04445465000001</v>
      </c>
      <c r="L95" s="67" t="s">
        <v>41</v>
      </c>
      <c r="M95" s="275">
        <f t="shared" si="29"/>
        <v>32866</v>
      </c>
      <c r="N95" s="71" t="s">
        <v>37</v>
      </c>
      <c r="O95" s="70">
        <f t="shared" si="30"/>
        <v>32870</v>
      </c>
      <c r="P95" s="71" t="s">
        <v>37</v>
      </c>
      <c r="Q95" s="70"/>
      <c r="R95" s="71"/>
      <c r="S95" s="65"/>
      <c r="T95" s="486"/>
      <c r="U95" s="486"/>
      <c r="V95" s="486"/>
      <c r="W95" s="274" t="str">
        <f t="shared" si="31"/>
        <v>1,0 чел. х 222,0 раз х 148,04 руб. = 32 866,00 руб. = 32 870,00 руб.</v>
      </c>
    </row>
    <row r="96" spans="1:23" ht="117" customHeight="1" x14ac:dyDescent="0.25">
      <c r="A96" s="517" t="s">
        <v>131</v>
      </c>
      <c r="B96" s="518" t="s">
        <v>184</v>
      </c>
      <c r="C96" s="64"/>
      <c r="D96" s="378">
        <v>226</v>
      </c>
      <c r="E96" s="378">
        <v>244</v>
      </c>
      <c r="F96" s="380" t="s">
        <v>358</v>
      </c>
      <c r="G96" s="380"/>
      <c r="H96" s="380"/>
      <c r="I96" s="380"/>
      <c r="J96" s="380"/>
      <c r="K96" s="380"/>
      <c r="L96" s="380"/>
      <c r="M96" s="380"/>
      <c r="N96" s="380"/>
      <c r="O96" s="380"/>
      <c r="P96" s="380"/>
      <c r="Q96" s="380"/>
      <c r="R96" s="380"/>
      <c r="S96" s="65"/>
      <c r="T96" s="485">
        <f>O98</f>
        <v>143140</v>
      </c>
      <c r="U96" s="485">
        <f>O99</f>
        <v>150110</v>
      </c>
      <c r="V96" s="485">
        <f>O100</f>
        <v>156970</v>
      </c>
      <c r="W96" s="274" t="s">
        <v>374</v>
      </c>
    </row>
    <row r="97" spans="1:24" ht="16.5" customHeight="1" outlineLevel="1" x14ac:dyDescent="0.25">
      <c r="A97" s="517"/>
      <c r="B97" s="519"/>
      <c r="C97" s="64"/>
      <c r="D97" s="379"/>
      <c r="E97" s="384"/>
      <c r="F97" s="61"/>
      <c r="G97" s="275">
        <v>8760</v>
      </c>
      <c r="H97" s="65" t="s">
        <v>375</v>
      </c>
      <c r="I97" s="275"/>
      <c r="J97" s="67" t="s">
        <v>250</v>
      </c>
      <c r="K97" s="275">
        <f>I97*G97</f>
        <v>0</v>
      </c>
      <c r="L97" s="67" t="s">
        <v>41</v>
      </c>
      <c r="M97" s="275">
        <f>ROUND((K97),0)</f>
        <v>0</v>
      </c>
      <c r="N97" s="67" t="s">
        <v>37</v>
      </c>
      <c r="O97" s="70">
        <f>ROUNDUP((M97),-1)</f>
        <v>0</v>
      </c>
      <c r="P97" s="71" t="s">
        <v>37</v>
      </c>
      <c r="Q97" s="67"/>
      <c r="R97" s="65"/>
      <c r="S97" s="65"/>
      <c r="T97" s="485"/>
      <c r="U97" s="485"/>
      <c r="V97" s="485"/>
      <c r="W97" s="274"/>
    </row>
    <row r="98" spans="1:24" ht="21" customHeight="1" x14ac:dyDescent="0.25">
      <c r="A98" s="517"/>
      <c r="B98" s="519"/>
      <c r="C98" s="64"/>
      <c r="D98" s="379"/>
      <c r="E98" s="384"/>
      <c r="F98" s="68" t="str">
        <f>F14</f>
        <v>норматив на 2023 год :</v>
      </c>
      <c r="G98" s="275">
        <v>8760</v>
      </c>
      <c r="H98" s="65" t="s">
        <v>375</v>
      </c>
      <c r="I98" s="275">
        <v>16.34</v>
      </c>
      <c r="J98" s="67" t="str">
        <f>J97</f>
        <v>руб. цена одного часа</v>
      </c>
      <c r="K98" s="275">
        <f t="shared" ref="K98:K100" si="32">I98*G98</f>
        <v>143138.4</v>
      </c>
      <c r="L98" s="67" t="s">
        <v>41</v>
      </c>
      <c r="M98" s="275">
        <f t="shared" ref="M98:M100" si="33">ROUND((K98),0)</f>
        <v>143138</v>
      </c>
      <c r="N98" s="71" t="s">
        <v>37</v>
      </c>
      <c r="O98" s="70">
        <f t="shared" ref="O98:O100" si="34">ROUNDUP((M98),-1)</f>
        <v>143140</v>
      </c>
      <c r="P98" s="71" t="s">
        <v>37</v>
      </c>
      <c r="Q98" s="70"/>
      <c r="R98" s="71"/>
      <c r="S98" s="65"/>
      <c r="T98" s="485"/>
      <c r="U98" s="485"/>
      <c r="V98" s="485"/>
      <c r="W98" s="274" t="str">
        <f>""&amp;TEXT($G$97,"0,0")&amp;" х "&amp;TEXT($I$98,"00,00")&amp;" руб. х "&amp;TEXT(ROUND((K98),2),"0 000,00")&amp;" руб. = "&amp;TEXT(ROUND(M98,2),"0 000,00")&amp;" руб. = "&amp;TEXT(O98,"0 000,00")&amp;" руб."</f>
        <v>8760,0 х 16,34 руб. х 143 138,40 руб. = 143 138,00 руб. = 143 140,00 руб.</v>
      </c>
    </row>
    <row r="99" spans="1:24" ht="21" customHeight="1" x14ac:dyDescent="0.25">
      <c r="A99" s="517"/>
      <c r="B99" s="519"/>
      <c r="C99" s="64"/>
      <c r="D99" s="379"/>
      <c r="E99" s="384"/>
      <c r="F99" s="68" t="str">
        <f>F15</f>
        <v>норматив на 2024 год :</v>
      </c>
      <c r="G99" s="275">
        <v>8760</v>
      </c>
      <c r="H99" s="65" t="s">
        <v>375</v>
      </c>
      <c r="I99" s="275">
        <f>I98*1.0487</f>
        <v>17.135757999999999</v>
      </c>
      <c r="J99" s="67" t="str">
        <f>J97</f>
        <v>руб. цена одного часа</v>
      </c>
      <c r="K99" s="275">
        <f t="shared" si="32"/>
        <v>150109.24007999999</v>
      </c>
      <c r="L99" s="67" t="s">
        <v>41</v>
      </c>
      <c r="M99" s="275">
        <f t="shared" si="33"/>
        <v>150109</v>
      </c>
      <c r="N99" s="71" t="s">
        <v>37</v>
      </c>
      <c r="O99" s="70">
        <f t="shared" si="34"/>
        <v>150110</v>
      </c>
      <c r="P99" s="71" t="s">
        <v>37</v>
      </c>
      <c r="Q99" s="70"/>
      <c r="R99" s="71"/>
      <c r="S99" s="65"/>
      <c r="T99" s="485"/>
      <c r="U99" s="485"/>
      <c r="V99" s="485"/>
      <c r="W99" s="274" t="str">
        <f>""&amp;TEXT($G$97,"0,0")&amp;" х "&amp;TEXT($I$99,"0,00")&amp;" раз х "&amp;TEXT(ROUND((K99),2),"0 000,00")&amp;" руб. = "&amp;TEXT(ROUND(M99,2),"0 000,00")&amp;" руб. = "&amp;TEXT(O99,"0 000,00")&amp;" руб."</f>
        <v>8760,0 х 17,14 раз х 150 109,24 руб. = 150 109,00 руб. = 150 110,00 руб.</v>
      </c>
    </row>
    <row r="100" spans="1:24" ht="21" customHeight="1" x14ac:dyDescent="0.25">
      <c r="A100" s="517"/>
      <c r="B100" s="519"/>
      <c r="C100" s="64"/>
      <c r="D100" s="379"/>
      <c r="E100" s="384"/>
      <c r="F100" s="68" t="str">
        <f>F16</f>
        <v>норматив на 2025 год :</v>
      </c>
      <c r="G100" s="275">
        <v>8760</v>
      </c>
      <c r="H100" s="65" t="s">
        <v>375</v>
      </c>
      <c r="I100" s="275">
        <f>I99*1.0457</f>
        <v>17.918862140600002</v>
      </c>
      <c r="J100" s="67" t="str">
        <f>J97</f>
        <v>руб. цена одного часа</v>
      </c>
      <c r="K100" s="275">
        <f t="shared" si="32"/>
        <v>156969.23235165601</v>
      </c>
      <c r="L100" s="67" t="s">
        <v>41</v>
      </c>
      <c r="M100" s="275">
        <f t="shared" si="33"/>
        <v>156969</v>
      </c>
      <c r="N100" s="71" t="s">
        <v>37</v>
      </c>
      <c r="O100" s="70">
        <f t="shared" si="34"/>
        <v>156970</v>
      </c>
      <c r="P100" s="71" t="s">
        <v>37</v>
      </c>
      <c r="Q100" s="70"/>
      <c r="R100" s="71"/>
      <c r="S100" s="65"/>
      <c r="T100" s="486"/>
      <c r="U100" s="486"/>
      <c r="V100" s="486"/>
      <c r="W100" s="274" t="str">
        <f>""&amp;TEXT($G$97,"0,0")&amp;" х "&amp;TEXT($I$100,"0,00")&amp;" раз х "&amp;TEXT(ROUND((K100),2),"0 000,00")&amp;" руб. = "&amp;TEXT(ROUND(M100,2),"0 000,00")&amp;" руб. = "&amp;TEXT(O100,"0 000,00")&amp;" руб."</f>
        <v>8760,0 х 17,92 раз х 156 969,23 руб. = 156 969,00 руб. = 156 970,00 руб.</v>
      </c>
    </row>
    <row r="101" spans="1:24" ht="75" x14ac:dyDescent="0.25">
      <c r="A101" s="504" t="s">
        <v>349</v>
      </c>
      <c r="B101" s="505" t="s">
        <v>108</v>
      </c>
      <c r="C101" s="64"/>
      <c r="D101" s="378">
        <v>227</v>
      </c>
      <c r="E101" s="378">
        <v>244</v>
      </c>
      <c r="F101" s="380" t="s">
        <v>257</v>
      </c>
      <c r="G101" s="380"/>
      <c r="H101" s="380"/>
      <c r="I101" s="380"/>
      <c r="J101" s="380"/>
      <c r="K101" s="380"/>
      <c r="L101" s="380"/>
      <c r="M101" s="380"/>
      <c r="N101" s="380"/>
      <c r="O101" s="380"/>
      <c r="P101" s="380"/>
      <c r="Q101" s="380"/>
      <c r="R101" s="380"/>
      <c r="S101" s="65"/>
      <c r="T101" s="485">
        <f>O103</f>
        <v>13980</v>
      </c>
      <c r="U101" s="485">
        <f>O104</f>
        <v>14660</v>
      </c>
      <c r="V101" s="485">
        <f>O105</f>
        <v>15330</v>
      </c>
      <c r="W101" s="274" t="s">
        <v>71</v>
      </c>
    </row>
    <row r="102" spans="1:24" ht="15.75" customHeight="1" outlineLevel="1" x14ac:dyDescent="0.25">
      <c r="A102" s="504"/>
      <c r="B102" s="506"/>
      <c r="C102" s="64"/>
      <c r="D102" s="379"/>
      <c r="E102" s="384"/>
      <c r="F102" s="61"/>
      <c r="G102" s="275">
        <v>1</v>
      </c>
      <c r="H102" s="65"/>
      <c r="I102" s="275"/>
      <c r="J102" s="67"/>
      <c r="K102" s="275"/>
      <c r="L102" s="67"/>
      <c r="M102" s="67"/>
      <c r="N102" s="67"/>
      <c r="O102" s="67"/>
      <c r="P102" s="67"/>
      <c r="Q102" s="67"/>
      <c r="R102" s="65"/>
      <c r="S102" s="65"/>
      <c r="T102" s="485"/>
      <c r="U102" s="485"/>
      <c r="V102" s="485"/>
      <c r="W102" s="274"/>
    </row>
    <row r="103" spans="1:24" ht="19.5" customHeight="1" x14ac:dyDescent="0.25">
      <c r="A103" s="504"/>
      <c r="B103" s="506"/>
      <c r="C103" s="64"/>
      <c r="D103" s="379"/>
      <c r="E103" s="384"/>
      <c r="F103" s="68" t="str">
        <f>F14</f>
        <v>норматив на 2023 год :</v>
      </c>
      <c r="G103" s="275">
        <v>1</v>
      </c>
      <c r="H103" s="65" t="s">
        <v>376</v>
      </c>
      <c r="I103" s="286">
        <v>13975.9</v>
      </c>
      <c r="J103" s="67" t="s">
        <v>41</v>
      </c>
      <c r="K103" s="275">
        <f>I103*G103</f>
        <v>13975.9</v>
      </c>
      <c r="L103" s="67" t="s">
        <v>41</v>
      </c>
      <c r="M103" s="70">
        <f>ROUNDUP((K103),0)</f>
        <v>13976</v>
      </c>
      <c r="N103" s="71" t="s">
        <v>37</v>
      </c>
      <c r="O103" s="70">
        <f>ROUNDUP((M103),-1)</f>
        <v>13980</v>
      </c>
      <c r="P103" s="71" t="s">
        <v>37</v>
      </c>
      <c r="Q103" s="72"/>
      <c r="R103" s="72"/>
      <c r="S103" s="65"/>
      <c r="T103" s="485"/>
      <c r="U103" s="485"/>
      <c r="V103" s="485"/>
      <c r="W103" s="274" t="str">
        <f>""&amp;TEXT(G103,"0,0")&amp;" авт. х "&amp;TEXT(ROUND((I103),2),"0 000,00")&amp;" руб. = "&amp;TEXT(ROUND(($G$102*(ROUND((K103/$G$102),2))),2),"0 000,00")&amp;" руб. = "&amp;TEXT(M103,"0 000,00")&amp;" руб. = "&amp;TEXT(O103,"0 000,00")&amp;" руб."</f>
        <v>1,0 авт. х 13 975,90 руб. = 13 975,90 руб. = 13 976,00 руб. = 13 980,00 руб.</v>
      </c>
    </row>
    <row r="104" spans="1:24" ht="19.5" customHeight="1" x14ac:dyDescent="0.25">
      <c r="A104" s="504"/>
      <c r="B104" s="506"/>
      <c r="C104" s="64"/>
      <c r="D104" s="379"/>
      <c r="E104" s="384"/>
      <c r="F104" s="68" t="str">
        <f>F15</f>
        <v>норматив на 2024 год :</v>
      </c>
      <c r="G104" s="275">
        <v>1</v>
      </c>
      <c r="H104" s="65" t="s">
        <v>376</v>
      </c>
      <c r="I104" s="275">
        <f>I103*1.0487</f>
        <v>14656.526329999999</v>
      </c>
      <c r="J104" s="67" t="s">
        <v>41</v>
      </c>
      <c r="K104" s="275">
        <f t="shared" ref="K104:K105" si="35">I104*G104</f>
        <v>14656.526329999999</v>
      </c>
      <c r="L104" s="67" t="s">
        <v>41</v>
      </c>
      <c r="M104" s="70">
        <f t="shared" ref="M104:M105" si="36">ROUNDUP((K104),0)</f>
        <v>14657</v>
      </c>
      <c r="N104" s="71" t="s">
        <v>37</v>
      </c>
      <c r="O104" s="70">
        <f t="shared" ref="O104:O105" si="37">ROUNDUP((M104),-1)</f>
        <v>14660</v>
      </c>
      <c r="P104" s="71" t="s">
        <v>37</v>
      </c>
      <c r="Q104" s="72"/>
      <c r="R104" s="72"/>
      <c r="S104" s="65"/>
      <c r="T104" s="485"/>
      <c r="U104" s="485"/>
      <c r="V104" s="485"/>
      <c r="W104" s="274" t="str">
        <f>""&amp;TEXT(G104,"0,0")&amp;" авт. х "&amp;TEXT(ROUND((K104/$G$102),2),"0 000,00")&amp;" руб. = "&amp;TEXT(ROUND(($G$102*(ROUND((K104/$G$102),2))),2),"0 000,00")&amp;" руб. = "&amp;TEXT(M104,"0 000,00")&amp;" руб. = "&amp;TEXT(O104,"0 000,00")&amp;" руб."</f>
        <v>1,0 авт. х 14 656,53 руб. = 14 656,53 руб. = 14 657,00 руб. = 14 660,00 руб.</v>
      </c>
    </row>
    <row r="105" spans="1:24" s="95" customFormat="1" ht="19.5" customHeight="1" x14ac:dyDescent="0.25">
      <c r="A105" s="504"/>
      <c r="B105" s="506"/>
      <c r="C105" s="64"/>
      <c r="D105" s="379"/>
      <c r="E105" s="384"/>
      <c r="F105" s="68" t="str">
        <f>F16</f>
        <v>норматив на 2025 год :</v>
      </c>
      <c r="G105" s="275">
        <v>1</v>
      </c>
      <c r="H105" s="65" t="s">
        <v>376</v>
      </c>
      <c r="I105" s="275">
        <f>I104*1.0457</f>
        <v>15326.329583281</v>
      </c>
      <c r="J105" s="67" t="s">
        <v>41</v>
      </c>
      <c r="K105" s="275">
        <f t="shared" si="35"/>
        <v>15326.329583281</v>
      </c>
      <c r="L105" s="67" t="s">
        <v>41</v>
      </c>
      <c r="M105" s="70">
        <f t="shared" si="36"/>
        <v>15327</v>
      </c>
      <c r="N105" s="71" t="s">
        <v>37</v>
      </c>
      <c r="O105" s="70">
        <f t="shared" si="37"/>
        <v>15330</v>
      </c>
      <c r="P105" s="71" t="s">
        <v>37</v>
      </c>
      <c r="Q105" s="70"/>
      <c r="R105" s="71"/>
      <c r="S105" s="65"/>
      <c r="T105" s="486"/>
      <c r="U105" s="486"/>
      <c r="V105" s="486"/>
      <c r="W105" s="274" t="str">
        <f>""&amp;TEXT(G105,"0,0")&amp;" авт. х "&amp;TEXT(ROUND((K105/$G$102),2),"0 000,00")&amp;" руб. = "&amp;TEXT(ROUND(($G$102*(ROUND((K105/$G$102),2))),2),"0 000,00")&amp;" руб. = "&amp;TEXT(M105,"0 000,00")&amp;" руб. = "&amp;TEXT(O105,"0 000,00")&amp;" руб."</f>
        <v>1,0 авт. х 15 326,33 руб. = 15 326,33 руб. = 15 327,00 руб. = 15 330,00 руб.</v>
      </c>
      <c r="X105" s="94"/>
    </row>
    <row r="106" spans="1:24" s="95" customFormat="1" ht="106.5" customHeight="1" x14ac:dyDescent="0.25">
      <c r="A106" s="284" t="s">
        <v>14</v>
      </c>
      <c r="B106" s="308" t="s">
        <v>101</v>
      </c>
      <c r="C106" s="52"/>
      <c r="D106" s="248" t="s">
        <v>35</v>
      </c>
      <c r="E106" s="248" t="s">
        <v>35</v>
      </c>
      <c r="F106" s="423"/>
      <c r="G106" s="424"/>
      <c r="H106" s="424"/>
      <c r="I106" s="424"/>
      <c r="J106" s="424"/>
      <c r="K106" s="424"/>
      <c r="L106" s="424"/>
      <c r="M106" s="424"/>
      <c r="N106" s="424"/>
      <c r="O106" s="424"/>
      <c r="P106" s="424"/>
      <c r="Q106" s="424"/>
      <c r="R106" s="424"/>
      <c r="S106" s="424"/>
      <c r="T106" s="254">
        <f>SUM(T107:T125)</f>
        <v>3712000</v>
      </c>
      <c r="U106" s="254">
        <f t="shared" ref="U106:V106" si="38">SUM(U107:U125)</f>
        <v>3892770</v>
      </c>
      <c r="V106" s="254">
        <f t="shared" si="38"/>
        <v>4075870</v>
      </c>
      <c r="W106" s="86" t="str">
        <f>"Нормативные "&amp;TEXT(B106,"0")&amp;" включают в себя:
нормативные "&amp;TEXT(B107,"0")&amp;";
нормативные "&amp;TEXT(B111,"0")&amp;"; нормативные "&amp;TEXT(B116,"0")&amp;";
нормативные "&amp;TEXT(B121,"0")&amp;""</f>
        <v>Нормативные затраты на приобретение основных средств включают в себя:
нормативные затраты на приобретение   мебели;
нормативные затраты на приобретение систем кондиционирования; нормативные затраты на приобретение огнетушителей ;
нормативные Затраты на приобретение прочих основных средств для обеспечения деятельности учреждения</v>
      </c>
    </row>
    <row r="107" spans="1:24" s="95" customFormat="1" ht="121.5" customHeight="1" x14ac:dyDescent="0.25">
      <c r="A107" s="388" t="s">
        <v>15</v>
      </c>
      <c r="B107" s="431" t="s">
        <v>350</v>
      </c>
      <c r="C107" s="64"/>
      <c r="D107" s="394">
        <v>310</v>
      </c>
      <c r="E107" s="394">
        <v>244</v>
      </c>
      <c r="F107" s="417" t="s">
        <v>260</v>
      </c>
      <c r="G107" s="418"/>
      <c r="H107" s="418"/>
      <c r="I107" s="418"/>
      <c r="J107" s="418"/>
      <c r="K107" s="418"/>
      <c r="L107" s="418"/>
      <c r="M107" s="418"/>
      <c r="N107" s="418"/>
      <c r="O107" s="418"/>
      <c r="P107" s="418"/>
      <c r="Q107" s="418"/>
      <c r="R107" s="419"/>
      <c r="S107" s="65"/>
      <c r="T107" s="482">
        <f>Q108</f>
        <v>1241660</v>
      </c>
      <c r="U107" s="482">
        <f>Q109</f>
        <v>1302130</v>
      </c>
      <c r="V107" s="482">
        <f>Q110</f>
        <v>1361630</v>
      </c>
      <c r="W107" s="274" t="s">
        <v>54</v>
      </c>
    </row>
    <row r="108" spans="1:24" s="95" customFormat="1" ht="21" customHeight="1" x14ac:dyDescent="0.25">
      <c r="A108" s="389"/>
      <c r="B108" s="432"/>
      <c r="C108" s="64"/>
      <c r="D108" s="395"/>
      <c r="E108" s="395"/>
      <c r="F108" s="68" t="str">
        <f>F14</f>
        <v>норматив на 2023 год :</v>
      </c>
      <c r="G108" s="275">
        <v>46635</v>
      </c>
      <c r="H108" s="67" t="s">
        <v>42</v>
      </c>
      <c r="I108" s="275">
        <v>213</v>
      </c>
      <c r="J108" s="67" t="s">
        <v>45</v>
      </c>
      <c r="K108" s="275">
        <v>8</v>
      </c>
      <c r="L108" s="67" t="s">
        <v>43</v>
      </c>
      <c r="M108" s="275">
        <v>0</v>
      </c>
      <c r="N108" s="67" t="s">
        <v>44</v>
      </c>
      <c r="O108" s="275">
        <f>ROUND((G108*(I108/K108+M108)),2)</f>
        <v>1241656.8799999999</v>
      </c>
      <c r="P108" s="67" t="s">
        <v>332</v>
      </c>
      <c r="Q108" s="70">
        <f t="shared" ref="Q108:Q110" si="39">ROUNDUP((O108),-1)</f>
        <v>1241660</v>
      </c>
      <c r="R108" s="71" t="s">
        <v>37</v>
      </c>
      <c r="S108" s="65"/>
      <c r="T108" s="483"/>
      <c r="U108" s="483"/>
      <c r="V108" s="483"/>
      <c r="W108" s="274" t="str">
        <f>"норматив "&amp;TEXT(G108,"0 000,00")&amp;" руб. х ("&amp;TEXT(I108,"000,00")&amp;" шт.ед. : срок "&amp;TEXT(K108,"0")&amp;" лет + "&amp;TEXT(M108,"0,00")&amp;" шт.ед.) = "&amp;TEXT(O108,"0 000,00")&amp;" руб. = "&amp;TEXT(Q108,"0 000,00")&amp;" руб."</f>
        <v>норматив 46 635,00 руб. х (213,00 шт.ед. : срок 8 лет + 0,00 шт.ед.) = 1 241 656,88 руб. = 1 241 660,00 руб.</v>
      </c>
      <c r="X108" s="94"/>
    </row>
    <row r="109" spans="1:24" s="95" customFormat="1" ht="21" customHeight="1" x14ac:dyDescent="0.25">
      <c r="A109" s="389"/>
      <c r="B109" s="432"/>
      <c r="C109" s="64"/>
      <c r="D109" s="395"/>
      <c r="E109" s="395"/>
      <c r="F109" s="68" t="str">
        <f>F15</f>
        <v>норматив на 2024 год :</v>
      </c>
      <c r="G109" s="275">
        <v>48906</v>
      </c>
      <c r="H109" s="67" t="s">
        <v>42</v>
      </c>
      <c r="I109" s="275">
        <v>213</v>
      </c>
      <c r="J109" s="67" t="s">
        <v>45</v>
      </c>
      <c r="K109" s="275">
        <v>8</v>
      </c>
      <c r="L109" s="67" t="s">
        <v>43</v>
      </c>
      <c r="M109" s="275">
        <v>0</v>
      </c>
      <c r="N109" s="67" t="s">
        <v>44</v>
      </c>
      <c r="O109" s="275">
        <f>ROUND((G109*(I109/K109+M109)),2)</f>
        <v>1302122.25</v>
      </c>
      <c r="P109" s="67" t="s">
        <v>332</v>
      </c>
      <c r="Q109" s="70">
        <f t="shared" si="39"/>
        <v>1302130</v>
      </c>
      <c r="R109" s="71" t="s">
        <v>37</v>
      </c>
      <c r="S109" s="65"/>
      <c r="T109" s="483"/>
      <c r="U109" s="483"/>
      <c r="V109" s="483"/>
      <c r="W109" s="274" t="str">
        <f t="shared" ref="W109:W110" si="40">"норматив "&amp;TEXT(G109,"0 000,00")&amp;" руб. х ("&amp;TEXT(I109,"000,00")&amp;" шт.ед. : срок "&amp;TEXT(K109,"0")&amp;" лет + "&amp;TEXT(M109,"0,00")&amp;" шт.ед.) = "&amp;TEXT(O109,"0 000,00")&amp;" руб. = "&amp;TEXT(Q109,"0 000,00")&amp;" руб."</f>
        <v>норматив 48 906,00 руб. х (213,00 шт.ед. : срок 8 лет + 0,00 шт.ед.) = 1 302 122,25 руб. = 1 302 130,00 руб.</v>
      </c>
      <c r="X109" s="94"/>
    </row>
    <row r="110" spans="1:24" s="95" customFormat="1" ht="21" customHeight="1" x14ac:dyDescent="0.25">
      <c r="A110" s="390"/>
      <c r="B110" s="433"/>
      <c r="C110" s="64"/>
      <c r="D110" s="396"/>
      <c r="E110" s="396"/>
      <c r="F110" s="68" t="str">
        <f>F16</f>
        <v>норматив на 2025 год :</v>
      </c>
      <c r="G110" s="275">
        <v>51141</v>
      </c>
      <c r="H110" s="67" t="s">
        <v>42</v>
      </c>
      <c r="I110" s="275">
        <v>213</v>
      </c>
      <c r="J110" s="67" t="s">
        <v>45</v>
      </c>
      <c r="K110" s="275">
        <v>8</v>
      </c>
      <c r="L110" s="67" t="s">
        <v>43</v>
      </c>
      <c r="M110" s="275">
        <v>0</v>
      </c>
      <c r="N110" s="67" t="s">
        <v>44</v>
      </c>
      <c r="O110" s="275">
        <f>ROUND((G110*(I110/K110+M110)),2)</f>
        <v>1361629.13</v>
      </c>
      <c r="P110" s="67" t="s">
        <v>332</v>
      </c>
      <c r="Q110" s="70">
        <f t="shared" si="39"/>
        <v>1361630</v>
      </c>
      <c r="R110" s="71" t="s">
        <v>37</v>
      </c>
      <c r="S110" s="61"/>
      <c r="T110" s="484"/>
      <c r="U110" s="484"/>
      <c r="V110" s="484"/>
      <c r="W110" s="274" t="str">
        <f t="shared" si="40"/>
        <v>норматив 51 141,00 руб. х (213,00 шт.ед. : срок 8 лет + 0,00 шт.ед.) = 1 361 629,13 руб. = 1 361 630,00 руб.</v>
      </c>
    </row>
    <row r="111" spans="1:24" ht="75" x14ac:dyDescent="0.25">
      <c r="A111" s="388" t="s">
        <v>181</v>
      </c>
      <c r="B111" s="391" t="s">
        <v>147</v>
      </c>
      <c r="C111" s="64"/>
      <c r="D111" s="378">
        <v>310</v>
      </c>
      <c r="E111" s="378">
        <v>244</v>
      </c>
      <c r="F111" s="380" t="s">
        <v>249</v>
      </c>
      <c r="G111" s="380"/>
      <c r="H111" s="380"/>
      <c r="I111" s="380"/>
      <c r="J111" s="380"/>
      <c r="K111" s="380"/>
      <c r="L111" s="380"/>
      <c r="M111" s="380"/>
      <c r="N111" s="380"/>
      <c r="O111" s="380"/>
      <c r="P111" s="380"/>
      <c r="Q111" s="380"/>
      <c r="R111" s="380"/>
      <c r="S111" s="65"/>
      <c r="T111" s="485">
        <f>O113</f>
        <v>1593830</v>
      </c>
      <c r="U111" s="485">
        <f>O114</f>
        <v>1671450</v>
      </c>
      <c r="V111" s="485">
        <f>O115</f>
        <v>1752850</v>
      </c>
      <c r="W111" s="274" t="s">
        <v>169</v>
      </c>
    </row>
    <row r="112" spans="1:24" ht="24" customHeight="1" outlineLevel="1" x14ac:dyDescent="0.25">
      <c r="A112" s="389"/>
      <c r="B112" s="392"/>
      <c r="C112" s="64"/>
      <c r="D112" s="378"/>
      <c r="E112" s="378"/>
      <c r="F112" s="61">
        <v>2022</v>
      </c>
      <c r="G112" s="275">
        <v>30</v>
      </c>
      <c r="H112" s="67" t="s">
        <v>78</v>
      </c>
      <c r="I112" s="275">
        <v>49092.21</v>
      </c>
      <c r="J112" s="67" t="s">
        <v>41</v>
      </c>
      <c r="K112" s="275">
        <f>ROUND((G112*I112),2)</f>
        <v>1472766.3</v>
      </c>
      <c r="L112" s="67" t="s">
        <v>37</v>
      </c>
      <c r="M112" s="70">
        <f>ROUNDUP((K112),0)</f>
        <v>1472767</v>
      </c>
      <c r="N112" s="71" t="s">
        <v>37</v>
      </c>
      <c r="O112" s="70">
        <f t="shared" ref="O112:O125" si="41">ROUNDUP((M112),-1)</f>
        <v>1472770</v>
      </c>
      <c r="P112" s="67" t="s">
        <v>332</v>
      </c>
      <c r="Q112" s="67"/>
      <c r="R112" s="65"/>
      <c r="S112" s="65"/>
      <c r="T112" s="485"/>
      <c r="U112" s="485"/>
      <c r="V112" s="485"/>
      <c r="W112" s="274"/>
    </row>
    <row r="113" spans="1:23" ht="24.75" customHeight="1" x14ac:dyDescent="0.25">
      <c r="A113" s="389"/>
      <c r="B113" s="429"/>
      <c r="C113" s="64"/>
      <c r="D113" s="379"/>
      <c r="E113" s="379"/>
      <c r="F113" s="68" t="str">
        <f>F14</f>
        <v>норматив на 2023 год :</v>
      </c>
      <c r="G113" s="275">
        <v>30</v>
      </c>
      <c r="H113" s="67" t="s">
        <v>78</v>
      </c>
      <c r="I113" s="69">
        <f>I112*1.0822</f>
        <v>53127.589661999998</v>
      </c>
      <c r="J113" s="67" t="s">
        <v>41</v>
      </c>
      <c r="K113" s="275">
        <f>ROUND((G113*I113),2)</f>
        <v>1593827.69</v>
      </c>
      <c r="L113" s="67" t="s">
        <v>41</v>
      </c>
      <c r="M113" s="70">
        <f t="shared" ref="M113:M115" si="42">ROUNDUP((K113),0)</f>
        <v>1593828</v>
      </c>
      <c r="N113" s="71" t="s">
        <v>37</v>
      </c>
      <c r="O113" s="70">
        <f t="shared" si="41"/>
        <v>1593830</v>
      </c>
      <c r="P113" s="67" t="s">
        <v>332</v>
      </c>
      <c r="Q113" s="67"/>
      <c r="R113" s="65"/>
      <c r="S113" s="65"/>
      <c r="T113" s="485"/>
      <c r="U113" s="485"/>
      <c r="V113" s="485"/>
      <c r="W113" s="274" t="str">
        <f>""&amp;TEXT(G113,"0,0")&amp;" шт. х "&amp;TEXT(ROUND((I113),2),"000,00")&amp;" руб. = "&amp;TEXT(ROUND(($G$123*(ROUND((K113/$G$123),2))),2),"0 000,00")&amp;" руб. = "&amp;TEXT(M113,"0 000,00")&amp;" руб. = "&amp;TEXT(O113,"0 000,00")&amp;" руб."</f>
        <v>30,0 шт. х 53127,59 руб. = 1 593 827,69 руб. = 1 593 828,00 руб. = 1 593 830,00 руб.</v>
      </c>
    </row>
    <row r="114" spans="1:23" ht="20.25" customHeight="1" outlineLevel="1" x14ac:dyDescent="0.25">
      <c r="A114" s="389"/>
      <c r="B114" s="429"/>
      <c r="C114" s="64"/>
      <c r="D114" s="379"/>
      <c r="E114" s="379"/>
      <c r="F114" s="68" t="str">
        <f>F15</f>
        <v>норматив на 2024 год :</v>
      </c>
      <c r="G114" s="275">
        <v>30</v>
      </c>
      <c r="H114" s="67" t="s">
        <v>78</v>
      </c>
      <c r="I114" s="69">
        <f>I113*1.0487</f>
        <v>55714.903278539394</v>
      </c>
      <c r="J114" s="67" t="s">
        <v>41</v>
      </c>
      <c r="K114" s="275">
        <f t="shared" ref="K114:K115" si="43">ROUND((G114*I114),2)</f>
        <v>1671447.1</v>
      </c>
      <c r="L114" s="67" t="s">
        <v>41</v>
      </c>
      <c r="M114" s="70">
        <f t="shared" si="42"/>
        <v>1671448</v>
      </c>
      <c r="N114" s="71" t="s">
        <v>37</v>
      </c>
      <c r="O114" s="70">
        <f t="shared" si="41"/>
        <v>1671450</v>
      </c>
      <c r="P114" s="67" t="s">
        <v>332</v>
      </c>
      <c r="Q114" s="93"/>
      <c r="R114" s="67"/>
      <c r="S114" s="65"/>
      <c r="T114" s="485"/>
      <c r="U114" s="485"/>
      <c r="V114" s="485"/>
      <c r="W114" s="274" t="str">
        <f>""&amp;TEXT(G114,"0,0")&amp;" шт. х "&amp;TEXT(ROUND((I114),2),"000,00")&amp;" руб. = "&amp;TEXT(ROUND(($G$123*(ROUND((K114/$G$123),2))),2),"0 000,00")&amp;" руб. = "&amp;TEXT(M114,"0 000,00")&amp;" руб. = "&amp;TEXT(O114,"0 000,00")&amp;" руб."</f>
        <v>30,0 шт. х 55714,90 руб. = 1 671 447,10 руб. = 1 671 448,00 руб. = 1 671 450,00 руб.</v>
      </c>
    </row>
    <row r="115" spans="1:23" ht="21" customHeight="1" outlineLevel="1" x14ac:dyDescent="0.25">
      <c r="A115" s="390"/>
      <c r="B115" s="430"/>
      <c r="C115" s="64"/>
      <c r="D115" s="379"/>
      <c r="E115" s="379"/>
      <c r="F115" s="68" t="str">
        <f>F16</f>
        <v>норматив на 2025 год :</v>
      </c>
      <c r="G115" s="275">
        <v>30</v>
      </c>
      <c r="H115" s="67" t="s">
        <v>78</v>
      </c>
      <c r="I115" s="69">
        <f>I114*1.0487</f>
        <v>58428.219068204264</v>
      </c>
      <c r="J115" s="67" t="s">
        <v>41</v>
      </c>
      <c r="K115" s="275">
        <f t="shared" si="43"/>
        <v>1752846.57</v>
      </c>
      <c r="L115" s="67" t="s">
        <v>41</v>
      </c>
      <c r="M115" s="70">
        <f t="shared" si="42"/>
        <v>1752847</v>
      </c>
      <c r="N115" s="71" t="s">
        <v>37</v>
      </c>
      <c r="O115" s="70">
        <f t="shared" si="41"/>
        <v>1752850</v>
      </c>
      <c r="P115" s="67" t="s">
        <v>332</v>
      </c>
      <c r="Q115" s="99"/>
      <c r="R115" s="71"/>
      <c r="S115" s="65"/>
      <c r="T115" s="485"/>
      <c r="U115" s="485"/>
      <c r="V115" s="485"/>
      <c r="W115" s="274" t="str">
        <f>""&amp;TEXT(G115,"0,0")&amp;" шт. х "&amp;TEXT(ROUND((I115),2),"000,00")&amp;" руб. = "&amp;TEXT(ROUND(($G$123*(ROUND((K115/$G$123),2))),2),"0 000,00")&amp;" руб. = "&amp;TEXT(M115,"0 000,00")&amp;" руб. = "&amp;TEXT(O115,"0 000,00")&amp;" руб."</f>
        <v>30,0 шт. х 58428,22 руб. = 1 752 846,57 руб. = 1 752 847,00 руб. = 1 752 850,00 руб.</v>
      </c>
    </row>
    <row r="116" spans="1:23" ht="90.75" customHeight="1" outlineLevel="1" x14ac:dyDescent="0.25">
      <c r="A116" s="388" t="s">
        <v>173</v>
      </c>
      <c r="B116" s="391" t="s">
        <v>361</v>
      </c>
      <c r="C116" s="64"/>
      <c r="D116" s="378">
        <v>310</v>
      </c>
      <c r="E116" s="378">
        <v>244</v>
      </c>
      <c r="F116" s="380" t="s">
        <v>249</v>
      </c>
      <c r="G116" s="380"/>
      <c r="H116" s="380"/>
      <c r="I116" s="380"/>
      <c r="J116" s="380"/>
      <c r="K116" s="380"/>
      <c r="L116" s="380"/>
      <c r="M116" s="380"/>
      <c r="N116" s="380"/>
      <c r="O116" s="380"/>
      <c r="P116" s="380"/>
      <c r="Q116" s="380"/>
      <c r="R116" s="380"/>
      <c r="S116" s="65"/>
      <c r="T116" s="485">
        <f>O118</f>
        <v>61740</v>
      </c>
      <c r="U116" s="485">
        <f>O119</f>
        <v>64750</v>
      </c>
      <c r="V116" s="485">
        <f>O120</f>
        <v>67900</v>
      </c>
      <c r="W116" s="285" t="s">
        <v>297</v>
      </c>
    </row>
    <row r="117" spans="1:23" ht="21" customHeight="1" outlineLevel="1" x14ac:dyDescent="0.25">
      <c r="A117" s="389"/>
      <c r="B117" s="392"/>
      <c r="C117" s="64"/>
      <c r="D117" s="378"/>
      <c r="E117" s="378"/>
      <c r="F117" s="61">
        <v>2022</v>
      </c>
      <c r="G117" s="286">
        <v>61</v>
      </c>
      <c r="H117" s="67" t="s">
        <v>78</v>
      </c>
      <c r="I117" s="286">
        <f>ROUNDUP((57046.87/61),2)</f>
        <v>935.2</v>
      </c>
      <c r="J117" s="67" t="s">
        <v>41</v>
      </c>
      <c r="K117" s="286">
        <f>ROUND((G117*I117),2)</f>
        <v>57047.199999999997</v>
      </c>
      <c r="L117" s="67" t="s">
        <v>37</v>
      </c>
      <c r="M117" s="67"/>
      <c r="N117" s="67"/>
      <c r="O117" s="67"/>
      <c r="P117" s="67"/>
      <c r="Q117" s="67"/>
      <c r="R117" s="65"/>
      <c r="S117" s="65"/>
      <c r="T117" s="485"/>
      <c r="U117" s="485"/>
      <c r="V117" s="485"/>
    </row>
    <row r="118" spans="1:23" ht="21" customHeight="1" outlineLevel="1" x14ac:dyDescent="0.25">
      <c r="A118" s="389"/>
      <c r="B118" s="429"/>
      <c r="C118" s="64"/>
      <c r="D118" s="379"/>
      <c r="E118" s="379"/>
      <c r="F118" s="68" t="str">
        <f>F14</f>
        <v>норматив на 2023 год :</v>
      </c>
      <c r="G118" s="286">
        <v>61</v>
      </c>
      <c r="H118" s="65" t="s">
        <v>294</v>
      </c>
      <c r="I118" s="286">
        <f>I117*1.0822</f>
        <v>1012.0734400000001</v>
      </c>
      <c r="J118" s="67" t="s">
        <v>41</v>
      </c>
      <c r="K118" s="286">
        <f>ROUND((G118*I118),2)</f>
        <v>61736.480000000003</v>
      </c>
      <c r="L118" s="67" t="s">
        <v>41</v>
      </c>
      <c r="M118" s="70">
        <f t="shared" ref="M118:M120" si="44">ROUNDUP((K118),0)</f>
        <v>61737</v>
      </c>
      <c r="N118" s="71" t="s">
        <v>37</v>
      </c>
      <c r="O118" s="70">
        <f t="shared" si="41"/>
        <v>61740</v>
      </c>
      <c r="P118" s="67" t="s">
        <v>332</v>
      </c>
      <c r="Q118" s="72"/>
      <c r="R118" s="72"/>
      <c r="S118" s="65"/>
      <c r="T118" s="485"/>
      <c r="U118" s="485"/>
      <c r="V118" s="485"/>
      <c r="W118" s="285" t="str">
        <f>""&amp;TEXT(G118,"0,0")&amp;" шт. х "&amp;TEXT(ROUND((K118/G118),2),"0,00")&amp;" руб. = "&amp;TEXT(ROUND((G118*(ROUND((K118/G118),2))),2),"0 000,00")&amp;" руб. = "&amp;TEXT(O118,"0 000,00")&amp;" руб."</f>
        <v>61,0 шт. х 1012,07 руб. = 61 736,27 руб. = 61 740,00 руб.</v>
      </c>
    </row>
    <row r="119" spans="1:23" ht="21" customHeight="1" outlineLevel="1" x14ac:dyDescent="0.25">
      <c r="A119" s="389"/>
      <c r="B119" s="429"/>
      <c r="C119" s="64"/>
      <c r="D119" s="379"/>
      <c r="E119" s="379"/>
      <c r="F119" s="68" t="str">
        <f>F15</f>
        <v>норматив на 2024 год :</v>
      </c>
      <c r="G119" s="286">
        <v>61</v>
      </c>
      <c r="H119" s="67" t="str">
        <f>H118</f>
        <v>шт. х средняя цена с индексом потребительских цен</v>
      </c>
      <c r="I119" s="286">
        <f>I118*1.0487</f>
        <v>1061.3614165280001</v>
      </c>
      <c r="J119" s="67" t="s">
        <v>41</v>
      </c>
      <c r="K119" s="286">
        <f t="shared" ref="K119:K120" si="45">ROUND((G119*I119),2)</f>
        <v>64743.05</v>
      </c>
      <c r="L119" s="67" t="s">
        <v>41</v>
      </c>
      <c r="M119" s="70">
        <f t="shared" si="44"/>
        <v>64744</v>
      </c>
      <c r="N119" s="71" t="s">
        <v>37</v>
      </c>
      <c r="O119" s="70">
        <f t="shared" si="41"/>
        <v>64750</v>
      </c>
      <c r="P119" s="67" t="s">
        <v>332</v>
      </c>
      <c r="Q119" s="72"/>
      <c r="R119" s="72"/>
      <c r="S119" s="65"/>
      <c r="T119" s="485"/>
      <c r="U119" s="485"/>
      <c r="V119" s="485"/>
      <c r="W119" s="285" t="str">
        <f t="shared" ref="W119:W120" si="46">""&amp;TEXT(G119,"0,0")&amp;" шт. х "&amp;TEXT(ROUND((K119/G119),2),"0,00")&amp;" руб. = "&amp;TEXT(ROUND((G119*(ROUND((K119/G119),2))),2),"0 000,00")&amp;" руб. = "&amp;TEXT(O119,"0 000,00")&amp;" руб."</f>
        <v>61,0 шт. х 1061,36 руб. = 64 742,96 руб. = 64 750,00 руб.</v>
      </c>
    </row>
    <row r="120" spans="1:23" ht="21" customHeight="1" outlineLevel="1" x14ac:dyDescent="0.25">
      <c r="A120" s="390"/>
      <c r="B120" s="430"/>
      <c r="C120" s="64"/>
      <c r="D120" s="379"/>
      <c r="E120" s="379"/>
      <c r="F120" s="68" t="str">
        <f>F16</f>
        <v>норматив на 2025 год :</v>
      </c>
      <c r="G120" s="286">
        <v>61</v>
      </c>
      <c r="H120" s="67" t="str">
        <f>H118</f>
        <v>шт. х средняя цена с индексом потребительских цен</v>
      </c>
      <c r="I120" s="286">
        <f>I119*1.0487</f>
        <v>1113.0497175129137</v>
      </c>
      <c r="J120" s="67" t="s">
        <v>41</v>
      </c>
      <c r="K120" s="286">
        <f t="shared" si="45"/>
        <v>67896.03</v>
      </c>
      <c r="L120" s="67" t="s">
        <v>41</v>
      </c>
      <c r="M120" s="70">
        <f t="shared" si="44"/>
        <v>67897</v>
      </c>
      <c r="N120" s="71" t="s">
        <v>37</v>
      </c>
      <c r="O120" s="70">
        <f t="shared" si="41"/>
        <v>67900</v>
      </c>
      <c r="P120" s="67" t="s">
        <v>332</v>
      </c>
      <c r="Q120" s="72"/>
      <c r="R120" s="72"/>
      <c r="S120" s="65"/>
      <c r="T120" s="485"/>
      <c r="U120" s="485"/>
      <c r="V120" s="485"/>
      <c r="W120" s="285" t="str">
        <f t="shared" si="46"/>
        <v>61,0 шт. х 1113,05 руб. = 67 896,05 руб. = 67 900,00 руб.</v>
      </c>
    </row>
    <row r="121" spans="1:23" ht="75" x14ac:dyDescent="0.25">
      <c r="A121" s="488" t="s">
        <v>298</v>
      </c>
      <c r="B121" s="514" t="s">
        <v>351</v>
      </c>
      <c r="C121" s="64"/>
      <c r="D121" s="378">
        <v>310</v>
      </c>
      <c r="E121" s="378">
        <v>244</v>
      </c>
      <c r="F121" s="380" t="s">
        <v>249</v>
      </c>
      <c r="G121" s="380"/>
      <c r="H121" s="380"/>
      <c r="I121" s="380"/>
      <c r="J121" s="380"/>
      <c r="K121" s="380"/>
      <c r="L121" s="380"/>
      <c r="M121" s="380"/>
      <c r="N121" s="380"/>
      <c r="O121" s="380"/>
      <c r="P121" s="380"/>
      <c r="Q121" s="380"/>
      <c r="R121" s="380"/>
      <c r="S121" s="65"/>
      <c r="T121" s="485">
        <f>O123</f>
        <v>814770</v>
      </c>
      <c r="U121" s="485">
        <f>O124</f>
        <v>854440</v>
      </c>
      <c r="V121" s="485">
        <f>O125</f>
        <v>893490</v>
      </c>
      <c r="W121" s="274" t="s">
        <v>170</v>
      </c>
    </row>
    <row r="122" spans="1:23" ht="21.75" customHeight="1" outlineLevel="1" x14ac:dyDescent="0.25">
      <c r="A122" s="489"/>
      <c r="B122" s="515"/>
      <c r="C122" s="64"/>
      <c r="D122" s="379"/>
      <c r="E122" s="379"/>
      <c r="F122" s="68">
        <v>2022</v>
      </c>
      <c r="G122" s="278">
        <v>1</v>
      </c>
      <c r="H122" s="67" t="s">
        <v>259</v>
      </c>
      <c r="I122" s="278">
        <v>752874.28</v>
      </c>
      <c r="J122" s="67" t="s">
        <v>41</v>
      </c>
      <c r="K122" s="275">
        <f>ROUND((G122*I122),2)</f>
        <v>752874.28</v>
      </c>
      <c r="L122" s="67" t="s">
        <v>37</v>
      </c>
      <c r="M122" s="70">
        <f>ROUNDUP((K122),0)</f>
        <v>752875</v>
      </c>
      <c r="N122" s="71" t="s">
        <v>37</v>
      </c>
      <c r="O122" s="70">
        <f t="shared" si="41"/>
        <v>752880</v>
      </c>
      <c r="P122" s="67" t="s">
        <v>332</v>
      </c>
      <c r="Q122" s="67"/>
      <c r="R122" s="65"/>
      <c r="S122" s="65"/>
      <c r="T122" s="485"/>
      <c r="U122" s="485"/>
      <c r="V122" s="485"/>
    </row>
    <row r="123" spans="1:23" ht="23.25" customHeight="1" x14ac:dyDescent="0.25">
      <c r="A123" s="489"/>
      <c r="B123" s="515"/>
      <c r="C123" s="64"/>
      <c r="D123" s="379"/>
      <c r="E123" s="379"/>
      <c r="F123" s="68" t="str">
        <f>F14</f>
        <v>норматив на 2023 год :</v>
      </c>
      <c r="G123" s="278">
        <v>1</v>
      </c>
      <c r="H123" s="67" t="s">
        <v>259</v>
      </c>
      <c r="I123" s="277">
        <f>I122*1.0822</f>
        <v>814760.54581600009</v>
      </c>
      <c r="J123" s="67" t="s">
        <v>41</v>
      </c>
      <c r="K123" s="275">
        <f>ROUND((G123*I123),2)</f>
        <v>814760.55</v>
      </c>
      <c r="L123" s="67" t="s">
        <v>41</v>
      </c>
      <c r="M123" s="70">
        <f t="shared" ref="M123:M125" si="47">ROUNDUP((K123),0)</f>
        <v>814761</v>
      </c>
      <c r="N123" s="71" t="s">
        <v>37</v>
      </c>
      <c r="O123" s="70">
        <f t="shared" si="41"/>
        <v>814770</v>
      </c>
      <c r="P123" s="67" t="s">
        <v>332</v>
      </c>
      <c r="Q123" s="67"/>
      <c r="R123" s="65"/>
      <c r="S123" s="65"/>
      <c r="T123" s="485"/>
      <c r="U123" s="485"/>
      <c r="V123" s="485"/>
      <c r="W123" s="274" t="str">
        <f>""&amp;TEXT($G$123,"0,0")&amp;" у.е. х "&amp;TEXT(ROUND((K123/$G$123),2),"000,00")&amp;" руб. = "&amp;TEXT(ROUND(($G$123*(ROUND((K123/$G$123),2))),2),"0 000,00")&amp;" руб. = "&amp;TEXT(M123,"0 000,00")&amp;" руб.= "&amp;TEXT(O123,"0 000,00")&amp;" руб."</f>
        <v>1,0 у.е. х 814760,55 руб. = 814 760,55 руб. = 814 761,00 руб.= 814 770,00 руб.</v>
      </c>
    </row>
    <row r="124" spans="1:23" ht="18" customHeight="1" outlineLevel="1" x14ac:dyDescent="0.25">
      <c r="A124" s="489"/>
      <c r="B124" s="515"/>
      <c r="C124" s="64"/>
      <c r="D124" s="379"/>
      <c r="E124" s="379"/>
      <c r="F124" s="68" t="str">
        <f>F15</f>
        <v>норматив на 2024 год :</v>
      </c>
      <c r="G124" s="278">
        <v>1</v>
      </c>
      <c r="H124" s="67" t="s">
        <v>259</v>
      </c>
      <c r="I124" s="277">
        <f>I123*1.0487</f>
        <v>854439.38439723931</v>
      </c>
      <c r="J124" s="67" t="s">
        <v>41</v>
      </c>
      <c r="K124" s="275">
        <f t="shared" ref="K124:K125" si="48">ROUND((G124*I124),2)</f>
        <v>854439.38</v>
      </c>
      <c r="L124" s="67" t="s">
        <v>41</v>
      </c>
      <c r="M124" s="70">
        <f t="shared" si="47"/>
        <v>854440</v>
      </c>
      <c r="N124" s="71" t="s">
        <v>37</v>
      </c>
      <c r="O124" s="70">
        <f t="shared" si="41"/>
        <v>854440</v>
      </c>
      <c r="P124" s="67" t="s">
        <v>332</v>
      </c>
      <c r="Q124" s="93"/>
      <c r="R124" s="67"/>
      <c r="S124" s="65"/>
      <c r="T124" s="485"/>
      <c r="U124" s="485"/>
      <c r="V124" s="485"/>
      <c r="W124" s="274" t="str">
        <f>""&amp;TEXT($G$123,"0,0")&amp;" у.е. х "&amp;TEXT(ROUND((K124/$G$123),2),"000,00")&amp;" руб. = "&amp;TEXT(ROUND(($G$123*(ROUND((K124/$G$123),2))),2),"0 000,00")&amp;" руб. = "&amp;TEXT(M124,"0 000,00")&amp;" руб.= "&amp;TEXT(O124,"0 000,00")&amp;" руб."</f>
        <v>1,0 у.е. х 854439,38 руб. = 854 439,38 руб. = 854 440,00 руб.= 854 440,00 руб.</v>
      </c>
    </row>
    <row r="125" spans="1:23" ht="19.5" customHeight="1" outlineLevel="1" x14ac:dyDescent="0.25">
      <c r="A125" s="490"/>
      <c r="B125" s="516"/>
      <c r="C125" s="64"/>
      <c r="D125" s="379"/>
      <c r="E125" s="379"/>
      <c r="F125" s="68" t="str">
        <f>F16</f>
        <v>норматив на 2025 год :</v>
      </c>
      <c r="G125" s="278">
        <v>1</v>
      </c>
      <c r="H125" s="67" t="s">
        <v>259</v>
      </c>
      <c r="I125" s="277">
        <f>I124*1.0457</f>
        <v>893487.26426419325</v>
      </c>
      <c r="J125" s="67" t="s">
        <v>41</v>
      </c>
      <c r="K125" s="275">
        <f t="shared" si="48"/>
        <v>893487.26</v>
      </c>
      <c r="L125" s="67" t="s">
        <v>41</v>
      </c>
      <c r="M125" s="70">
        <f t="shared" si="47"/>
        <v>893488</v>
      </c>
      <c r="N125" s="71" t="s">
        <v>37</v>
      </c>
      <c r="O125" s="70">
        <f t="shared" si="41"/>
        <v>893490</v>
      </c>
      <c r="P125" s="67" t="s">
        <v>332</v>
      </c>
      <c r="Q125" s="99"/>
      <c r="R125" s="71"/>
      <c r="S125" s="65"/>
      <c r="T125" s="485"/>
      <c r="U125" s="485"/>
      <c r="V125" s="485"/>
      <c r="W125" s="274" t="str">
        <f>""&amp;TEXT($G$123,"0,0")&amp;" у.е. х "&amp;TEXT(ROUND((K125/$G$123),2),"000,00")&amp;" руб. = "&amp;TEXT(ROUND(($G$123*(ROUND((K125/$G$123),2))),2),"0 000,00")&amp;" руб. = "&amp;TEXT(M125,"0 000,00")&amp;" руб.= "&amp;TEXT(O125,"0 000,00")&amp;" руб."</f>
        <v>1,0 у.е. х 893487,26 руб. = 893 487,26 руб. = 893 488,00 руб.= 893 490,00 руб.</v>
      </c>
    </row>
    <row r="126" spans="1:23" ht="153.75" customHeight="1" x14ac:dyDescent="0.25">
      <c r="A126" s="282" t="s">
        <v>16</v>
      </c>
      <c r="B126" s="272" t="s">
        <v>97</v>
      </c>
      <c r="C126" s="52"/>
      <c r="D126" s="276" t="s">
        <v>35</v>
      </c>
      <c r="E126" s="276" t="s">
        <v>35</v>
      </c>
      <c r="F126" s="423"/>
      <c r="G126" s="424"/>
      <c r="H126" s="424"/>
      <c r="I126" s="424"/>
      <c r="J126" s="424"/>
      <c r="K126" s="424"/>
      <c r="L126" s="424"/>
      <c r="M126" s="424"/>
      <c r="N126" s="424"/>
      <c r="O126" s="424"/>
      <c r="P126" s="424"/>
      <c r="Q126" s="424"/>
      <c r="R126" s="424"/>
      <c r="S126" s="424"/>
      <c r="T126" s="255">
        <f>T127+T132+T136+T141+T146+T151+T156+T161+T166+T171+T176</f>
        <v>5751760</v>
      </c>
      <c r="U126" s="255">
        <f>U127+U132+U136+U141+U146+U151+U156+U161+U166+U171+U176</f>
        <v>6031984</v>
      </c>
      <c r="V126" s="255">
        <f>V127+V132+V136+V141+V146+V151+V156+V161+V166+V171+V176</f>
        <v>6307630</v>
      </c>
      <c r="W126" s="274" t="str">
        <f>"Нормативные "&amp;TEXT(B126,"0")&amp;" включают в себя:
нормативные "&amp;TEXT(B127,"0")&amp;"; нормативные "&amp;TEXT(B132,"0")&amp;"; нормативные "&amp;TEXT(B136,"0")&amp;"; нормативные "&amp;TEXT(B132,"0")&amp;"; нормативные "&amp;TEXT(B141,"0")&amp;"; нормативные "&amp;TEXT(B146,"0")&amp;"; нормативные "&amp;TEXT(B151,"0")&amp;"; нормативные "&amp;TEXT(B156,"0")&amp;"; 
нормативные "&amp;TEXT(B161,"0")&amp;"; нормативные "&amp;TEXT(B166,"0")&amp;"; нормативные "&amp;TEXT(B171,"0")&amp;";
нормативные "&amp;TEXT(B176,"0")&amp;""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 бланочной продукции; нормативные затраты на приобретение  канцелярских принадлежностей; нормативные затраты на приобретение горюче-смазочных материалов; нормативные затраты на приобретение  канцелярских принадлежностей; нормативные затраты на приобретение противогазов; нормативные затраты на приобретение комплектов индивидуальной медицинской гражданской защиты; нормативные затраты на приобретение аптечки первой помощи; нормативные затраты на приобретение  пакетов перевязочных индивидуальных; 
нормативные затраты на приобретение индивидуальных противохимических пакетов; нормативные затраты на приобретение запасных частей для мебели; нормативные затраты на приобретение масок медицинских одноразовых;
нормативные затраты на приобретение шин для автомобиля</v>
      </c>
    </row>
    <row r="127" spans="1:23" s="239" customFormat="1" ht="98.25" customHeight="1" x14ac:dyDescent="0.25">
      <c r="A127" s="504" t="s">
        <v>17</v>
      </c>
      <c r="B127" s="505" t="s">
        <v>353</v>
      </c>
      <c r="C127" s="291"/>
      <c r="D127" s="507">
        <v>346</v>
      </c>
      <c r="E127" s="507">
        <v>244</v>
      </c>
      <c r="F127" s="497" t="s">
        <v>249</v>
      </c>
      <c r="G127" s="497"/>
      <c r="H127" s="497"/>
      <c r="I127" s="497"/>
      <c r="J127" s="497"/>
      <c r="K127" s="497"/>
      <c r="L127" s="497"/>
      <c r="M127" s="497"/>
      <c r="N127" s="497"/>
      <c r="O127" s="497"/>
      <c r="P127" s="497"/>
      <c r="Q127" s="497"/>
      <c r="R127" s="497"/>
      <c r="S127" s="293"/>
      <c r="T127" s="487">
        <f>O129</f>
        <v>9530</v>
      </c>
      <c r="U127" s="487">
        <f>O130</f>
        <v>10000</v>
      </c>
      <c r="V127" s="487">
        <f>O131</f>
        <v>10450</v>
      </c>
      <c r="W127" s="287" t="s">
        <v>360</v>
      </c>
    </row>
    <row r="128" spans="1:23" s="239" customFormat="1" ht="21" customHeight="1" x14ac:dyDescent="0.25">
      <c r="A128" s="504"/>
      <c r="B128" s="505"/>
      <c r="C128" s="291"/>
      <c r="D128" s="507"/>
      <c r="E128" s="507"/>
      <c r="F128" s="298">
        <v>2022</v>
      </c>
      <c r="G128" s="295">
        <v>20</v>
      </c>
      <c r="H128" s="292"/>
      <c r="I128" s="292">
        <v>440.3</v>
      </c>
      <c r="J128" s="292"/>
      <c r="K128" s="292"/>
      <c r="L128" s="292"/>
      <c r="M128" s="292"/>
      <c r="N128" s="292"/>
      <c r="O128" s="292"/>
      <c r="P128" s="292"/>
      <c r="Q128" s="292"/>
      <c r="R128" s="292"/>
      <c r="S128" s="293"/>
      <c r="T128" s="487"/>
      <c r="U128" s="487"/>
      <c r="V128" s="487"/>
      <c r="W128" s="287"/>
    </row>
    <row r="129" spans="1:23" s="239" customFormat="1" ht="21.75" customHeight="1" x14ac:dyDescent="0.25">
      <c r="A129" s="504"/>
      <c r="B129" s="506"/>
      <c r="C129" s="291"/>
      <c r="D129" s="508"/>
      <c r="E129" s="508"/>
      <c r="F129" s="298">
        <f>F10</f>
        <v>0</v>
      </c>
      <c r="G129" s="295">
        <f>G128</f>
        <v>20</v>
      </c>
      <c r="H129" s="296" t="s">
        <v>48</v>
      </c>
      <c r="I129" s="305">
        <f>I128*1.0822</f>
        <v>476.49266000000006</v>
      </c>
      <c r="J129" s="296" t="s">
        <v>41</v>
      </c>
      <c r="K129" s="295">
        <f>ROUND((G129*I129),2)</f>
        <v>9529.85</v>
      </c>
      <c r="L129" s="296" t="s">
        <v>41</v>
      </c>
      <c r="M129" s="297">
        <f>ROUNDDOWN((K129),0)</f>
        <v>9529</v>
      </c>
      <c r="N129" s="299" t="s">
        <v>37</v>
      </c>
      <c r="O129" s="297">
        <f t="shared" ref="O129:O131" si="49">ROUNDUP((M129),-1)</f>
        <v>9530</v>
      </c>
      <c r="P129" s="296" t="s">
        <v>332</v>
      </c>
      <c r="Q129" s="296"/>
      <c r="R129" s="293"/>
      <c r="S129" s="293"/>
      <c r="T129" s="487"/>
      <c r="U129" s="487"/>
      <c r="V129" s="487"/>
      <c r="W129" s="287" t="str">
        <f>""&amp;TEXT(G129,"0,0")&amp;" шт.ед. х норматив "&amp;TEXT(I129,"0,00")&amp;" руб. = "&amp;TEXT(K129,"0 000,00")&amp;" руб. = "&amp;TEXT(M129,"0 000,00")&amp;" руб.= "&amp;TEXT(O129,"0 000,00")&amp;" руб."</f>
        <v>20,0 шт.ед. х норматив 476,49 руб. = 9 529,85 руб. = 9 529,00 руб.= 9 530,00 руб.</v>
      </c>
    </row>
    <row r="130" spans="1:23" s="239" customFormat="1" ht="18.75" customHeight="1" x14ac:dyDescent="0.25">
      <c r="A130" s="504"/>
      <c r="B130" s="506"/>
      <c r="C130" s="291"/>
      <c r="D130" s="508"/>
      <c r="E130" s="508"/>
      <c r="F130" s="298">
        <f>F11</f>
        <v>0</v>
      </c>
      <c r="G130" s="295">
        <f>G128</f>
        <v>20</v>
      </c>
      <c r="H130" s="296" t="s">
        <v>48</v>
      </c>
      <c r="I130" s="305">
        <f>I129*1.0487</f>
        <v>499.69785254200002</v>
      </c>
      <c r="J130" s="296" t="s">
        <v>41</v>
      </c>
      <c r="K130" s="295">
        <f t="shared" ref="K130:K131" si="50">ROUND((G130*I130),2)</f>
        <v>9993.9599999999991</v>
      </c>
      <c r="L130" s="296" t="s">
        <v>41</v>
      </c>
      <c r="M130" s="297">
        <f t="shared" ref="M130:M131" si="51">ROUNDDOWN((K130),0)</f>
        <v>9993</v>
      </c>
      <c r="N130" s="299" t="s">
        <v>37</v>
      </c>
      <c r="O130" s="297">
        <f t="shared" si="49"/>
        <v>10000</v>
      </c>
      <c r="P130" s="296" t="s">
        <v>332</v>
      </c>
      <c r="Q130" s="296"/>
      <c r="R130" s="293"/>
      <c r="S130" s="293"/>
      <c r="T130" s="487"/>
      <c r="U130" s="487"/>
      <c r="V130" s="487"/>
      <c r="W130" s="287" t="str">
        <f>""&amp;TEXT(G130,"0,0")&amp;" шт.ед. х норматив "&amp;TEXT(I130,"0,00")&amp;" руб. = "&amp;TEXT(K130,"0 000,00")&amp;" руб. = "&amp;TEXT(M130,"0 000,00")&amp;" руб.= "&amp;TEXT(O130,"0 000,00")&amp;" руб."</f>
        <v>20,0 шт.ед. х норматив 499,70 руб. = 9 993,96 руб. = 9 993,00 руб.= 10 000,00 руб.</v>
      </c>
    </row>
    <row r="131" spans="1:23" s="239" customFormat="1" ht="18.75" customHeight="1" x14ac:dyDescent="0.25">
      <c r="A131" s="504"/>
      <c r="B131" s="506"/>
      <c r="C131" s="291"/>
      <c r="D131" s="508"/>
      <c r="E131" s="508"/>
      <c r="F131" s="298">
        <f>F12</f>
        <v>0</v>
      </c>
      <c r="G131" s="295">
        <f>G128</f>
        <v>20</v>
      </c>
      <c r="H131" s="296" t="s">
        <v>48</v>
      </c>
      <c r="I131" s="305">
        <f>I130*1.0457</f>
        <v>522.53404440316945</v>
      </c>
      <c r="J131" s="296" t="s">
        <v>41</v>
      </c>
      <c r="K131" s="295">
        <f t="shared" si="50"/>
        <v>10450.68</v>
      </c>
      <c r="L131" s="296" t="s">
        <v>41</v>
      </c>
      <c r="M131" s="297">
        <f t="shared" si="51"/>
        <v>10450</v>
      </c>
      <c r="N131" s="299" t="s">
        <v>37</v>
      </c>
      <c r="O131" s="297">
        <f t="shared" si="49"/>
        <v>10450</v>
      </c>
      <c r="P131" s="296" t="s">
        <v>332</v>
      </c>
      <c r="Q131" s="296"/>
      <c r="R131" s="293"/>
      <c r="S131" s="293"/>
      <c r="T131" s="487"/>
      <c r="U131" s="487"/>
      <c r="V131" s="487"/>
      <c r="W131" s="287" t="str">
        <f>""&amp;TEXT(G131,"0,0")&amp;" шт.ед. х норматив "&amp;TEXT(I131,"0,00")&amp;" руб. = "&amp;TEXT(K131,"0 000,00")&amp;" руб. = "&amp;TEXT(M131,"0 000,00")&amp;" руб.= "&amp;TEXT(O131,"0 000,00")&amp;" руб."</f>
        <v>20,0 шт.ед. х норматив 522,53 руб. = 10 450,68 руб. = 10 450,00 руб.= 10 450,00 руб.</v>
      </c>
    </row>
    <row r="132" spans="1:23" ht="85.5" customHeight="1" x14ac:dyDescent="0.25">
      <c r="A132" s="383" t="s">
        <v>18</v>
      </c>
      <c r="B132" s="376" t="s">
        <v>352</v>
      </c>
      <c r="C132" s="64"/>
      <c r="D132" s="378">
        <v>346</v>
      </c>
      <c r="E132" s="378">
        <v>244</v>
      </c>
      <c r="F132" s="380" t="s">
        <v>262</v>
      </c>
      <c r="G132" s="380"/>
      <c r="H132" s="380"/>
      <c r="I132" s="380"/>
      <c r="J132" s="380"/>
      <c r="K132" s="380"/>
      <c r="L132" s="380"/>
      <c r="M132" s="380"/>
      <c r="N132" s="380"/>
      <c r="O132" s="380"/>
      <c r="P132" s="380"/>
      <c r="Q132" s="380"/>
      <c r="R132" s="380"/>
      <c r="S132" s="65"/>
      <c r="T132" s="485">
        <f>O133</f>
        <v>4081300</v>
      </c>
      <c r="U132" s="485">
        <f>O134</f>
        <v>4280030</v>
      </c>
      <c r="V132" s="485">
        <f>O135</f>
        <v>4475560</v>
      </c>
      <c r="W132" s="274" t="s">
        <v>264</v>
      </c>
    </row>
    <row r="133" spans="1:23" ht="21.75" customHeight="1" x14ac:dyDescent="0.25">
      <c r="A133" s="383"/>
      <c r="B133" s="377"/>
      <c r="C133" s="64"/>
      <c r="D133" s="379"/>
      <c r="E133" s="379"/>
      <c r="F133" s="68" t="str">
        <f>F14</f>
        <v>норматив на 2023 год :</v>
      </c>
      <c r="G133" s="275">
        <v>213</v>
      </c>
      <c r="H133" s="67" t="s">
        <v>48</v>
      </c>
      <c r="I133" s="275">
        <v>19161</v>
      </c>
      <c r="J133" s="67" t="s">
        <v>41</v>
      </c>
      <c r="K133" s="275">
        <f>ROUND((G133*I133),2)</f>
        <v>4081293</v>
      </c>
      <c r="L133" s="67" t="s">
        <v>41</v>
      </c>
      <c r="M133" s="70">
        <f>ROUNDDOWN((K133),0)</f>
        <v>4081293</v>
      </c>
      <c r="N133" s="71" t="s">
        <v>37</v>
      </c>
      <c r="O133" s="70">
        <f t="shared" ref="O133:O135" si="52">ROUNDUP((M133),-1)</f>
        <v>4081300</v>
      </c>
      <c r="P133" s="67" t="s">
        <v>332</v>
      </c>
      <c r="Q133" s="67"/>
      <c r="R133" s="65"/>
      <c r="S133" s="65"/>
      <c r="T133" s="485"/>
      <c r="U133" s="485"/>
      <c r="V133" s="485"/>
      <c r="W133" s="274" t="str">
        <f>""&amp;TEXT(G133,"000,00")&amp;" шт.ед. х норматив "&amp;TEXT(I133,"0 000,00")&amp;" руб. = "&amp;TEXT(K133,"0 000,00")&amp;" руб. = "&amp;TEXT(M133,"0 000,00")&amp;" руб.= "&amp;TEXT(O133,"0 000,00")&amp;" руб."</f>
        <v>213,00 шт.ед. х норматив 19 161,00 руб. = 4 081 293,00 руб. = 4 081 293,00 руб.= 4 081 300,00 руб.</v>
      </c>
    </row>
    <row r="134" spans="1:23" ht="18.75" customHeight="1" x14ac:dyDescent="0.25">
      <c r="A134" s="383"/>
      <c r="B134" s="377"/>
      <c r="C134" s="64"/>
      <c r="D134" s="379"/>
      <c r="E134" s="379"/>
      <c r="F134" s="68" t="str">
        <f>F15</f>
        <v>норматив на 2024 год :</v>
      </c>
      <c r="G134" s="275">
        <v>213</v>
      </c>
      <c r="H134" s="67" t="s">
        <v>48</v>
      </c>
      <c r="I134" s="275">
        <v>20094</v>
      </c>
      <c r="J134" s="67" t="s">
        <v>41</v>
      </c>
      <c r="K134" s="275">
        <f t="shared" ref="K134:K135" si="53">ROUND((G134*I134),2)</f>
        <v>4280022</v>
      </c>
      <c r="L134" s="67" t="s">
        <v>41</v>
      </c>
      <c r="M134" s="70">
        <f t="shared" ref="M134:M135" si="54">ROUNDDOWN((K134),0)</f>
        <v>4280022</v>
      </c>
      <c r="N134" s="71" t="s">
        <v>37</v>
      </c>
      <c r="O134" s="70">
        <f t="shared" si="52"/>
        <v>4280030</v>
      </c>
      <c r="P134" s="67" t="s">
        <v>332</v>
      </c>
      <c r="Q134" s="67"/>
      <c r="R134" s="65"/>
      <c r="S134" s="65"/>
      <c r="T134" s="485"/>
      <c r="U134" s="485"/>
      <c r="V134" s="485"/>
      <c r="W134" s="274" t="str">
        <f>""&amp;TEXT(G134,"000,00")&amp;" шт.ед. х норматив "&amp;TEXT(I134,"0 000,00")&amp;" руб. = "&amp;TEXT(K134,"0 000,00")&amp;" руб. = "&amp;TEXT(M134,"0 000,00")&amp;" руб.= "&amp;TEXT(O134,"0 000,00")&amp;" руб."</f>
        <v>213,00 шт.ед. х норматив 20 094,00 руб. = 4 280 022,00 руб. = 4 280 022,00 руб.= 4 280 030,00 руб.</v>
      </c>
    </row>
    <row r="135" spans="1:23" ht="18.75" customHeight="1" x14ac:dyDescent="0.25">
      <c r="A135" s="383"/>
      <c r="B135" s="377"/>
      <c r="C135" s="64"/>
      <c r="D135" s="379"/>
      <c r="E135" s="379"/>
      <c r="F135" s="68" t="str">
        <f>F16</f>
        <v>норматив на 2025 год :</v>
      </c>
      <c r="G135" s="275">
        <v>213</v>
      </c>
      <c r="H135" s="67" t="s">
        <v>48</v>
      </c>
      <c r="I135" s="275">
        <v>21012</v>
      </c>
      <c r="J135" s="67" t="s">
        <v>41</v>
      </c>
      <c r="K135" s="275">
        <f t="shared" si="53"/>
        <v>4475556</v>
      </c>
      <c r="L135" s="67" t="s">
        <v>41</v>
      </c>
      <c r="M135" s="70">
        <f t="shared" si="54"/>
        <v>4475556</v>
      </c>
      <c r="N135" s="71" t="s">
        <v>37</v>
      </c>
      <c r="O135" s="70">
        <f t="shared" si="52"/>
        <v>4475560</v>
      </c>
      <c r="P135" s="67" t="s">
        <v>332</v>
      </c>
      <c r="Q135" s="67"/>
      <c r="R135" s="65"/>
      <c r="S135" s="65"/>
      <c r="T135" s="485"/>
      <c r="U135" s="485"/>
      <c r="V135" s="485"/>
      <c r="W135" s="274" t="str">
        <f>""&amp;TEXT(G135,"000,00")&amp;" шт.ед. х норматив "&amp;TEXT(I135,"0 000,00")&amp;" руб. = "&amp;TEXT(K135,"0 000,00")&amp;" руб. = "&amp;TEXT(M135,"0 000,00")&amp;" руб.= "&amp;TEXT(O135,"0 000,00")&amp;" руб."</f>
        <v>213,00 шт.ед. х норматив 21 012,00 руб. = 4 475 556,00 руб. = 4 475 556,00 руб.= 4 475 560,00 руб.</v>
      </c>
    </row>
    <row r="136" spans="1:23" s="239" customFormat="1" ht="117.75" customHeight="1" x14ac:dyDescent="0.25">
      <c r="A136" s="504" t="s">
        <v>26</v>
      </c>
      <c r="B136" s="505" t="s">
        <v>100</v>
      </c>
      <c r="C136" s="64"/>
      <c r="D136" s="394">
        <v>343</v>
      </c>
      <c r="E136" s="394">
        <v>244</v>
      </c>
      <c r="F136" s="380" t="s">
        <v>331</v>
      </c>
      <c r="G136" s="380"/>
      <c r="H136" s="380"/>
      <c r="I136" s="380"/>
      <c r="J136" s="380"/>
      <c r="K136" s="380"/>
      <c r="L136" s="380"/>
      <c r="M136" s="380"/>
      <c r="N136" s="380"/>
      <c r="O136" s="380"/>
      <c r="P136" s="380"/>
      <c r="Q136" s="380"/>
      <c r="R136" s="380"/>
      <c r="S136" s="420">
        <f>M138</f>
        <v>39816</v>
      </c>
      <c r="T136" s="482">
        <f>O138</f>
        <v>39820</v>
      </c>
      <c r="U136" s="482">
        <f>O139</f>
        <v>41770</v>
      </c>
      <c r="V136" s="482">
        <f>O140</f>
        <v>43680</v>
      </c>
      <c r="W136" s="274" t="s">
        <v>302</v>
      </c>
    </row>
    <row r="137" spans="1:23" s="239" customFormat="1" ht="19.5" customHeight="1" x14ac:dyDescent="0.25">
      <c r="A137" s="504"/>
      <c r="B137" s="506"/>
      <c r="C137" s="64"/>
      <c r="D137" s="395"/>
      <c r="E137" s="395"/>
      <c r="F137" s="61"/>
      <c r="G137" s="275">
        <v>700</v>
      </c>
      <c r="H137" s="67" t="s">
        <v>303</v>
      </c>
      <c r="I137" s="275"/>
      <c r="J137" s="67" t="s">
        <v>41</v>
      </c>
      <c r="K137" s="275">
        <f>ROUND((G137*I137),2)</f>
        <v>0</v>
      </c>
      <c r="L137" s="67" t="s">
        <v>37</v>
      </c>
      <c r="M137" s="67"/>
      <c r="N137" s="67"/>
      <c r="O137" s="70">
        <f t="shared" ref="O137:O140" si="55">ROUNDUP((M137),-1)</f>
        <v>0</v>
      </c>
      <c r="P137" s="67"/>
      <c r="Q137" s="67"/>
      <c r="R137" s="65"/>
      <c r="S137" s="421"/>
      <c r="T137" s="483"/>
      <c r="U137" s="483"/>
      <c r="V137" s="483"/>
      <c r="W137" s="274"/>
    </row>
    <row r="138" spans="1:23" s="239" customFormat="1" ht="19.5" customHeight="1" x14ac:dyDescent="0.25">
      <c r="A138" s="504"/>
      <c r="B138" s="506"/>
      <c r="C138" s="64"/>
      <c r="D138" s="395"/>
      <c r="E138" s="395"/>
      <c r="F138" s="68" t="str">
        <f>F14</f>
        <v>норматив на 2023 год :</v>
      </c>
      <c r="G138" s="275">
        <f>G137</f>
        <v>700</v>
      </c>
      <c r="H138" s="65" t="s">
        <v>304</v>
      </c>
      <c r="I138" s="69">
        <v>56.88</v>
      </c>
      <c r="J138" s="67" t="s">
        <v>41</v>
      </c>
      <c r="K138" s="275">
        <f>ROUND((G138*I138),2)</f>
        <v>39816</v>
      </c>
      <c r="L138" s="67" t="s">
        <v>41</v>
      </c>
      <c r="M138" s="70">
        <f>ROUNDDOWN((K138),0)</f>
        <v>39816</v>
      </c>
      <c r="N138" s="71" t="s">
        <v>37</v>
      </c>
      <c r="O138" s="70">
        <f t="shared" si="55"/>
        <v>39820</v>
      </c>
      <c r="P138" s="67" t="s">
        <v>332</v>
      </c>
      <c r="Q138" s="72"/>
      <c r="R138" s="72"/>
      <c r="S138" s="421"/>
      <c r="T138" s="483"/>
      <c r="U138" s="483"/>
      <c r="V138" s="483"/>
      <c r="W138" s="274" t="str">
        <f>""&amp;TEXT(G138,"0,0")&amp;" л. х "&amp;TEXT(ROUND((K138/G138),2),"0,00")&amp;" руб. = "&amp;TEXT(ROUND((G138*(ROUND((K138/G138),2))),2),"0 000,00")&amp;" руб. = "&amp;TEXT(O138,"0 000,00")&amp;" руб."</f>
        <v>700,0 л. х 56,88 руб. = 39 816,00 руб. = 39 820,00 руб.</v>
      </c>
    </row>
    <row r="139" spans="1:23" s="239" customFormat="1" ht="19.5" customHeight="1" x14ac:dyDescent="0.25">
      <c r="A139" s="504"/>
      <c r="B139" s="506"/>
      <c r="C139" s="64"/>
      <c r="D139" s="395"/>
      <c r="E139" s="395"/>
      <c r="F139" s="68" t="str">
        <f>F15</f>
        <v>норматив на 2024 год :</v>
      </c>
      <c r="G139" s="275">
        <f>G137</f>
        <v>700</v>
      </c>
      <c r="H139" s="67" t="str">
        <f>H138</f>
        <v>л. х средняя цена с индексом потребительских цен =</v>
      </c>
      <c r="I139" s="69">
        <f>ROUNDUP(I138*(1.0487),2)</f>
        <v>59.66</v>
      </c>
      <c r="J139" s="67" t="s">
        <v>41</v>
      </c>
      <c r="K139" s="275">
        <f t="shared" ref="K139:K140" si="56">ROUND((G139*I139),2)</f>
        <v>41762</v>
      </c>
      <c r="L139" s="67" t="s">
        <v>41</v>
      </c>
      <c r="M139" s="70">
        <f t="shared" ref="M139:M140" si="57">ROUNDDOWN((K139),0)</f>
        <v>41762</v>
      </c>
      <c r="N139" s="71" t="s">
        <v>37</v>
      </c>
      <c r="O139" s="70">
        <f t="shared" si="55"/>
        <v>41770</v>
      </c>
      <c r="P139" s="67" t="s">
        <v>332</v>
      </c>
      <c r="Q139" s="72"/>
      <c r="R139" s="72"/>
      <c r="S139" s="421"/>
      <c r="T139" s="483"/>
      <c r="U139" s="483"/>
      <c r="V139" s="483"/>
      <c r="W139" s="274" t="str">
        <f>""&amp;TEXT(G139,"0,0")&amp;" л. х "&amp;TEXT(ROUND((K139/G139),2),"0,00")&amp;" руб. = "&amp;TEXT(ROUND((G139*(ROUND((K139/G139),2))),2),"0 000,00")&amp;" руб. = "&amp;TEXT(O139,"0 000,00")&amp;" руб."</f>
        <v>700,0 л. х 59,66 руб. = 41 762,00 руб. = 41 770,00 руб.</v>
      </c>
    </row>
    <row r="140" spans="1:23" ht="24" customHeight="1" x14ac:dyDescent="0.25">
      <c r="A140" s="504"/>
      <c r="B140" s="506"/>
      <c r="C140" s="64"/>
      <c r="D140" s="396"/>
      <c r="E140" s="396"/>
      <c r="F140" s="68" t="str">
        <f>F16</f>
        <v>норматив на 2025 год :</v>
      </c>
      <c r="G140" s="275">
        <f>G137</f>
        <v>700</v>
      </c>
      <c r="H140" s="67" t="str">
        <f>H138</f>
        <v>л. х средняя цена с индексом потребительских цен =</v>
      </c>
      <c r="I140" s="69">
        <f>ROUNDUP(I139*(1.0457),2)</f>
        <v>62.39</v>
      </c>
      <c r="J140" s="67" t="s">
        <v>41</v>
      </c>
      <c r="K140" s="275">
        <f t="shared" si="56"/>
        <v>43673</v>
      </c>
      <c r="L140" s="67" t="s">
        <v>41</v>
      </c>
      <c r="M140" s="70">
        <f t="shared" si="57"/>
        <v>43673</v>
      </c>
      <c r="N140" s="71" t="s">
        <v>37</v>
      </c>
      <c r="O140" s="70">
        <f t="shared" si="55"/>
        <v>43680</v>
      </c>
      <c r="P140" s="67" t="s">
        <v>332</v>
      </c>
      <c r="Q140" s="72"/>
      <c r="R140" s="72"/>
      <c r="S140" s="422"/>
      <c r="T140" s="484"/>
      <c r="U140" s="484"/>
      <c r="V140" s="484"/>
      <c r="W140" s="274" t="str">
        <f>""&amp;TEXT(G140,"0,0")&amp;" л. х "&amp;TEXT(ROUND((K140/G140),2),"0,00")&amp;" руб. = "&amp;TEXT(ROUND((G140*(ROUND((K140/G140),2))),2),"0 000,00")&amp;" руб. = "&amp;TEXT(O140,"0 000,00")&amp;" руб."</f>
        <v>700,0 л. х 62,39 руб. = 43 673,00 руб. = 43 680,00 руб.</v>
      </c>
    </row>
    <row r="141" spans="1:23" ht="132" customHeight="1" outlineLevel="1" x14ac:dyDescent="0.25">
      <c r="A141" s="511" t="s">
        <v>200</v>
      </c>
      <c r="B141" s="512" t="s">
        <v>305</v>
      </c>
      <c r="C141" s="64"/>
      <c r="D141" s="378">
        <v>345</v>
      </c>
      <c r="E141" s="378">
        <v>244</v>
      </c>
      <c r="F141" s="380" t="s">
        <v>249</v>
      </c>
      <c r="G141" s="380"/>
      <c r="H141" s="380"/>
      <c r="I141" s="380"/>
      <c r="J141" s="380"/>
      <c r="K141" s="380"/>
      <c r="L141" s="380"/>
      <c r="M141" s="380"/>
      <c r="N141" s="380"/>
      <c r="O141" s="380"/>
      <c r="P141" s="380"/>
      <c r="Q141" s="380"/>
      <c r="R141" s="380"/>
      <c r="S141" s="477">
        <f>M143</f>
        <v>840328</v>
      </c>
      <c r="T141" s="485">
        <f>O143</f>
        <v>840330</v>
      </c>
      <c r="U141" s="485">
        <f>O144</f>
        <v>881260</v>
      </c>
      <c r="V141" s="485">
        <f>O145</f>
        <v>921530</v>
      </c>
      <c r="W141" s="274" t="s">
        <v>306</v>
      </c>
    </row>
    <row r="142" spans="1:23" ht="18.75" customHeight="1" x14ac:dyDescent="0.25">
      <c r="A142" s="511"/>
      <c r="B142" s="513"/>
      <c r="C142" s="64"/>
      <c r="D142" s="379"/>
      <c r="E142" s="384"/>
      <c r="F142" s="61">
        <v>2022</v>
      </c>
      <c r="G142" s="275">
        <v>224</v>
      </c>
      <c r="H142" s="67" t="s">
        <v>78</v>
      </c>
      <c r="I142" s="275">
        <v>3466.51</v>
      </c>
      <c r="J142" s="67" t="s">
        <v>41</v>
      </c>
      <c r="K142" s="275">
        <f>ROUND((G142*I142),2)</f>
        <v>776498.24</v>
      </c>
      <c r="L142" s="67" t="s">
        <v>37</v>
      </c>
      <c r="M142" s="67"/>
      <c r="N142" s="67"/>
      <c r="O142" s="70">
        <f t="shared" ref="O142:O145" si="58">ROUNDUP((M142),-1)</f>
        <v>0</v>
      </c>
      <c r="P142" s="67"/>
      <c r="Q142" s="67"/>
      <c r="R142" s="65"/>
      <c r="S142" s="477"/>
      <c r="T142" s="485"/>
      <c r="U142" s="485"/>
      <c r="V142" s="485"/>
      <c r="W142" s="274"/>
    </row>
    <row r="143" spans="1:23" ht="18.75" customHeight="1" x14ac:dyDescent="0.25">
      <c r="A143" s="511"/>
      <c r="B143" s="513"/>
      <c r="C143" s="64"/>
      <c r="D143" s="379"/>
      <c r="E143" s="384"/>
      <c r="F143" s="68" t="str">
        <f>F14</f>
        <v>норматив на 2023 год :</v>
      </c>
      <c r="G143" s="275">
        <v>224</v>
      </c>
      <c r="H143" s="65" t="s">
        <v>294</v>
      </c>
      <c r="I143" s="69">
        <f>ROUNDUP(I142*1.0822,2)</f>
        <v>3751.46</v>
      </c>
      <c r="J143" s="67" t="s">
        <v>41</v>
      </c>
      <c r="K143" s="275">
        <f>G143*I143</f>
        <v>840327.04</v>
      </c>
      <c r="L143" s="67" t="s">
        <v>41</v>
      </c>
      <c r="M143" s="70">
        <f>ROUNDUP((K143),0)</f>
        <v>840328</v>
      </c>
      <c r="N143" s="71" t="s">
        <v>37</v>
      </c>
      <c r="O143" s="70">
        <f t="shared" si="58"/>
        <v>840330</v>
      </c>
      <c r="P143" s="67" t="s">
        <v>332</v>
      </c>
      <c r="Q143" s="72"/>
      <c r="R143" s="72"/>
      <c r="S143" s="477"/>
      <c r="T143" s="485"/>
      <c r="U143" s="485"/>
      <c r="V143" s="485"/>
      <c r="W143" s="274" t="str">
        <f>""&amp;TEXT(G143,"0,0")&amp;" шт. х "&amp;TEXT(ROUND((K143/G143),2),"0,00")&amp;" руб. = "&amp;TEXT(ROUND((G143*(ROUND((K143/G143),2))),2),"0 000,00")&amp;" руб. = "&amp;TEXT(M143,"0 000,00")&amp;" руб.= "&amp;TEXT(O143,"0 000,00")&amp;" руб."</f>
        <v>224,0 шт. х 3751,46 руб. = 840 327,04 руб. = 840 328,00 руб.= 840 330,00 руб.</v>
      </c>
    </row>
    <row r="144" spans="1:23" ht="18.75" customHeight="1" x14ac:dyDescent="0.25">
      <c r="A144" s="511"/>
      <c r="B144" s="513"/>
      <c r="C144" s="64"/>
      <c r="D144" s="379"/>
      <c r="E144" s="384"/>
      <c r="F144" s="68" t="str">
        <f>F15</f>
        <v>норматив на 2024 год :</v>
      </c>
      <c r="G144" s="275">
        <v>224</v>
      </c>
      <c r="H144" s="67" t="str">
        <f>H143</f>
        <v>шт. х средняя цена с индексом потребительских цен</v>
      </c>
      <c r="I144" s="69">
        <f>ROUNDUP(I143*(1.0487),2)</f>
        <v>3934.1600000000003</v>
      </c>
      <c r="J144" s="67" t="s">
        <v>41</v>
      </c>
      <c r="K144" s="275">
        <f t="shared" ref="K144:K145" si="59">G144*I144</f>
        <v>881251.84000000008</v>
      </c>
      <c r="L144" s="67" t="s">
        <v>41</v>
      </c>
      <c r="M144" s="70">
        <f t="shared" ref="M144:M145" si="60">ROUNDUP((K144),0)</f>
        <v>881252</v>
      </c>
      <c r="N144" s="71" t="s">
        <v>37</v>
      </c>
      <c r="O144" s="70">
        <f t="shared" si="58"/>
        <v>881260</v>
      </c>
      <c r="P144" s="67" t="s">
        <v>332</v>
      </c>
      <c r="Q144" s="72"/>
      <c r="R144" s="72"/>
      <c r="S144" s="477"/>
      <c r="T144" s="485"/>
      <c r="U144" s="485"/>
      <c r="V144" s="485"/>
      <c r="W144" s="274" t="str">
        <f t="shared" ref="W144:W145" si="61">""&amp;TEXT(G144,"0,0")&amp;" шт. х "&amp;TEXT(ROUND((K144/G144),2),"0,00")&amp;" руб. = "&amp;TEXT(ROUND((G144*(ROUND((K144/G144),2))),2),"0 000,00")&amp;" руб. = "&amp;TEXT(M144,"0 000,00")&amp;" руб.= "&amp;TEXT(O144,"0 000,00")&amp;" руб."</f>
        <v>224,0 шт. х 3934,16 руб. = 881 251,84 руб. = 881 252,00 руб.= 881 260,00 руб.</v>
      </c>
    </row>
    <row r="145" spans="1:23" ht="24.75" customHeight="1" x14ac:dyDescent="0.25">
      <c r="A145" s="511"/>
      <c r="B145" s="513"/>
      <c r="C145" s="64"/>
      <c r="D145" s="379"/>
      <c r="E145" s="384"/>
      <c r="F145" s="68" t="str">
        <f>F16</f>
        <v>норматив на 2025 год :</v>
      </c>
      <c r="G145" s="275">
        <v>224</v>
      </c>
      <c r="H145" s="67" t="str">
        <f>H143</f>
        <v>шт. х средняя цена с индексом потребительских цен</v>
      </c>
      <c r="I145" s="69">
        <f>ROUNDUP(I144*(1.0457),2)</f>
        <v>4113.96</v>
      </c>
      <c r="J145" s="67" t="s">
        <v>41</v>
      </c>
      <c r="K145" s="275">
        <f t="shared" si="59"/>
        <v>921527.04</v>
      </c>
      <c r="L145" s="67" t="s">
        <v>41</v>
      </c>
      <c r="M145" s="70">
        <f t="shared" si="60"/>
        <v>921528</v>
      </c>
      <c r="N145" s="71" t="s">
        <v>37</v>
      </c>
      <c r="O145" s="70">
        <f t="shared" si="58"/>
        <v>921530</v>
      </c>
      <c r="P145" s="67" t="s">
        <v>332</v>
      </c>
      <c r="Q145" s="72"/>
      <c r="R145" s="72"/>
      <c r="S145" s="478"/>
      <c r="T145" s="486"/>
      <c r="U145" s="486"/>
      <c r="V145" s="486"/>
      <c r="W145" s="274" t="str">
        <f t="shared" si="61"/>
        <v>224,0 шт. х 4113,96 руб. = 921 527,04 руб. = 921 528,00 руб.= 921 530,00 руб.</v>
      </c>
    </row>
    <row r="146" spans="1:23" ht="103.5" customHeight="1" outlineLevel="1" x14ac:dyDescent="0.25">
      <c r="A146" s="511" t="s">
        <v>213</v>
      </c>
      <c r="B146" s="512" t="s">
        <v>307</v>
      </c>
      <c r="C146" s="64"/>
      <c r="D146" s="378">
        <v>341</v>
      </c>
      <c r="E146" s="378">
        <v>244</v>
      </c>
      <c r="F146" s="380" t="s">
        <v>249</v>
      </c>
      <c r="G146" s="380"/>
      <c r="H146" s="380"/>
      <c r="I146" s="380"/>
      <c r="J146" s="380"/>
      <c r="K146" s="380"/>
      <c r="L146" s="380"/>
      <c r="M146" s="380"/>
      <c r="N146" s="380"/>
      <c r="O146" s="380"/>
      <c r="P146" s="380"/>
      <c r="Q146" s="380"/>
      <c r="R146" s="380"/>
      <c r="S146" s="65"/>
      <c r="T146" s="482">
        <f>O148</f>
        <v>49310</v>
      </c>
      <c r="U146" s="482">
        <f>O149</f>
        <v>51710</v>
      </c>
      <c r="V146" s="482">
        <f>O150</f>
        <v>54070</v>
      </c>
      <c r="W146" s="274" t="s">
        <v>308</v>
      </c>
    </row>
    <row r="147" spans="1:23" ht="22.5" customHeight="1" x14ac:dyDescent="0.25">
      <c r="A147" s="511"/>
      <c r="B147" s="513"/>
      <c r="C147" s="64"/>
      <c r="D147" s="379"/>
      <c r="E147" s="384"/>
      <c r="F147" s="61">
        <v>2022</v>
      </c>
      <c r="G147" s="275">
        <v>64</v>
      </c>
      <c r="H147" s="67" t="s">
        <v>78</v>
      </c>
      <c r="I147" s="275">
        <f>ROUNDUP((45557.76/64),2)</f>
        <v>711.84</v>
      </c>
      <c r="J147" s="67" t="s">
        <v>41</v>
      </c>
      <c r="K147" s="275">
        <f>ROUND((G147*I147),2)</f>
        <v>45557.760000000002</v>
      </c>
      <c r="L147" s="67" t="s">
        <v>37</v>
      </c>
      <c r="M147" s="67"/>
      <c r="N147" s="67"/>
      <c r="O147" s="70">
        <f t="shared" ref="O147:O150" si="62">ROUNDUP((M147),-1)</f>
        <v>0</v>
      </c>
      <c r="P147" s="67"/>
      <c r="Q147" s="67"/>
      <c r="R147" s="65"/>
      <c r="S147" s="65"/>
      <c r="T147" s="483"/>
      <c r="U147" s="483"/>
      <c r="V147" s="483"/>
      <c r="W147" s="274"/>
    </row>
    <row r="148" spans="1:23" ht="17.25" customHeight="1" x14ac:dyDescent="0.25">
      <c r="A148" s="511"/>
      <c r="B148" s="513"/>
      <c r="C148" s="64"/>
      <c r="D148" s="379"/>
      <c r="E148" s="384"/>
      <c r="F148" s="68" t="str">
        <f>F14</f>
        <v>норматив на 2023 год :</v>
      </c>
      <c r="G148" s="275">
        <v>64</v>
      </c>
      <c r="H148" s="65" t="s">
        <v>294</v>
      </c>
      <c r="I148" s="69">
        <f>ROUNDUP(I147*(1.0822),2)</f>
        <v>770.36</v>
      </c>
      <c r="J148" s="67" t="s">
        <v>41</v>
      </c>
      <c r="K148" s="275">
        <f>G148*I148</f>
        <v>49303.040000000001</v>
      </c>
      <c r="L148" s="67" t="s">
        <v>41</v>
      </c>
      <c r="M148" s="70">
        <f>ROUNDUP((K148),0)</f>
        <v>49304</v>
      </c>
      <c r="N148" s="71" t="s">
        <v>37</v>
      </c>
      <c r="O148" s="70">
        <f t="shared" si="62"/>
        <v>49310</v>
      </c>
      <c r="P148" s="67" t="s">
        <v>332</v>
      </c>
      <c r="Q148" s="72"/>
      <c r="R148" s="72"/>
      <c r="S148" s="65"/>
      <c r="T148" s="483"/>
      <c r="U148" s="483"/>
      <c r="V148" s="483"/>
      <c r="W148" s="274" t="str">
        <f>""&amp;TEXT(G148,"0,0")&amp;" шт. х "&amp;TEXT(ROUND((K148),2),"0,00")&amp;" руб. = "&amp;TEXT(ROUND((M148),2),"0 000,00")&amp;" руб. = "&amp;TEXT(O148,"0 000,00")&amp;" руб."</f>
        <v>64,0 шт. х 49303,04 руб. = 49 304,00 руб. = 49 310,00 руб.</v>
      </c>
    </row>
    <row r="149" spans="1:23" ht="23.25" customHeight="1" x14ac:dyDescent="0.25">
      <c r="A149" s="511"/>
      <c r="B149" s="513"/>
      <c r="C149" s="64"/>
      <c r="D149" s="379"/>
      <c r="E149" s="384"/>
      <c r="F149" s="68" t="str">
        <f>F15</f>
        <v>норматив на 2024 год :</v>
      </c>
      <c r="G149" s="275">
        <v>64</v>
      </c>
      <c r="H149" s="67" t="str">
        <f>H148</f>
        <v>шт. х средняя цена с индексом потребительских цен</v>
      </c>
      <c r="I149" s="69">
        <f>ROUNDUP(I148*(1.0487),2)</f>
        <v>807.88</v>
      </c>
      <c r="J149" s="67" t="s">
        <v>41</v>
      </c>
      <c r="K149" s="275">
        <f t="shared" ref="K149:K150" si="63">G149*I149</f>
        <v>51704.32</v>
      </c>
      <c r="L149" s="67" t="s">
        <v>41</v>
      </c>
      <c r="M149" s="70">
        <f t="shared" ref="M149:M150" si="64">ROUNDUP((K149),0)</f>
        <v>51705</v>
      </c>
      <c r="N149" s="71" t="s">
        <v>37</v>
      </c>
      <c r="O149" s="70">
        <f t="shared" si="62"/>
        <v>51710</v>
      </c>
      <c r="P149" s="67" t="s">
        <v>332</v>
      </c>
      <c r="Q149" s="72"/>
      <c r="R149" s="72"/>
      <c r="S149" s="65"/>
      <c r="T149" s="483"/>
      <c r="U149" s="483"/>
      <c r="V149" s="483"/>
      <c r="W149" s="274" t="str">
        <f t="shared" ref="W149:W150" si="65">""&amp;TEXT(G149,"0,0")&amp;" шт. х "&amp;TEXT(ROUND((K149),2),"0,00")&amp;" руб. = "&amp;TEXT(ROUND((M149),2),"0 000,00")&amp;" руб. = "&amp;TEXT(O149,"0 000,00")&amp;" руб."</f>
        <v>64,0 шт. х 51704,32 руб. = 51 705,00 руб. = 51 710,00 руб.</v>
      </c>
    </row>
    <row r="150" spans="1:23" ht="23.25" customHeight="1" x14ac:dyDescent="0.25">
      <c r="A150" s="511"/>
      <c r="B150" s="513"/>
      <c r="C150" s="64"/>
      <c r="D150" s="379"/>
      <c r="E150" s="384"/>
      <c r="F150" s="68" t="str">
        <f>F16</f>
        <v>норматив на 2025 год :</v>
      </c>
      <c r="G150" s="275">
        <v>64</v>
      </c>
      <c r="H150" s="67" t="str">
        <f>H148</f>
        <v>шт. х средняя цена с индексом потребительских цен</v>
      </c>
      <c r="I150" s="69">
        <f>ROUNDUP(I149*(1.0457),2)</f>
        <v>844.81</v>
      </c>
      <c r="J150" s="67" t="s">
        <v>41</v>
      </c>
      <c r="K150" s="275">
        <f t="shared" si="63"/>
        <v>54067.839999999997</v>
      </c>
      <c r="L150" s="67" t="s">
        <v>41</v>
      </c>
      <c r="M150" s="70">
        <f t="shared" si="64"/>
        <v>54068</v>
      </c>
      <c r="N150" s="71" t="s">
        <v>37</v>
      </c>
      <c r="O150" s="70">
        <f t="shared" si="62"/>
        <v>54070</v>
      </c>
      <c r="P150" s="67" t="s">
        <v>332</v>
      </c>
      <c r="Q150" s="72"/>
      <c r="R150" s="72"/>
      <c r="S150" s="65"/>
      <c r="T150" s="484"/>
      <c r="U150" s="484"/>
      <c r="V150" s="484"/>
      <c r="W150" s="274" t="str">
        <f t="shared" si="65"/>
        <v>64,0 шт. х 54067,84 руб. = 54 068,00 руб. = 54 070,00 руб.</v>
      </c>
    </row>
    <row r="151" spans="1:23" ht="89.25" customHeight="1" x14ac:dyDescent="0.25">
      <c r="A151" s="511" t="s">
        <v>311</v>
      </c>
      <c r="B151" s="512" t="s">
        <v>309</v>
      </c>
      <c r="C151" s="64"/>
      <c r="D151" s="378">
        <v>341</v>
      </c>
      <c r="E151" s="378">
        <v>244</v>
      </c>
      <c r="F151" s="380" t="s">
        <v>249</v>
      </c>
      <c r="G151" s="380"/>
      <c r="H151" s="380"/>
      <c r="I151" s="380"/>
      <c r="J151" s="380"/>
      <c r="K151" s="380"/>
      <c r="L151" s="380"/>
      <c r="M151" s="380"/>
      <c r="N151" s="380"/>
      <c r="O151" s="380"/>
      <c r="P151" s="380"/>
      <c r="Q151" s="380"/>
      <c r="R151" s="380"/>
      <c r="S151" s="65"/>
      <c r="T151" s="501">
        <f>O153</f>
        <v>11000</v>
      </c>
      <c r="U151" s="501">
        <f>O154</f>
        <v>11540</v>
      </c>
      <c r="V151" s="501">
        <f>O155</f>
        <v>12060</v>
      </c>
      <c r="W151" s="274" t="s">
        <v>310</v>
      </c>
    </row>
    <row r="152" spans="1:23" ht="23.25" customHeight="1" x14ac:dyDescent="0.25">
      <c r="A152" s="511"/>
      <c r="B152" s="513"/>
      <c r="C152" s="64"/>
      <c r="D152" s="379"/>
      <c r="E152" s="384"/>
      <c r="F152" s="61">
        <v>2022</v>
      </c>
      <c r="G152" s="275">
        <v>11</v>
      </c>
      <c r="H152" s="67" t="s">
        <v>78</v>
      </c>
      <c r="I152" s="275">
        <v>923.64</v>
      </c>
      <c r="J152" s="67" t="s">
        <v>41</v>
      </c>
      <c r="K152" s="275">
        <f>ROUND((G152*I152),2)</f>
        <v>10160.040000000001</v>
      </c>
      <c r="L152" s="67" t="s">
        <v>37</v>
      </c>
      <c r="M152" s="67"/>
      <c r="N152" s="67"/>
      <c r="O152" s="70">
        <f t="shared" ref="O152:O155" si="66">ROUNDUP((M152),-1)</f>
        <v>0</v>
      </c>
      <c r="P152" s="67"/>
      <c r="Q152" s="67"/>
      <c r="R152" s="65"/>
      <c r="S152" s="65"/>
      <c r="T152" s="502"/>
      <c r="U152" s="502"/>
      <c r="V152" s="502"/>
      <c r="W152" s="274"/>
    </row>
    <row r="153" spans="1:23" ht="23.25" customHeight="1" x14ac:dyDescent="0.25">
      <c r="A153" s="511"/>
      <c r="B153" s="513"/>
      <c r="C153" s="64"/>
      <c r="D153" s="379"/>
      <c r="E153" s="384"/>
      <c r="F153" s="68" t="str">
        <f>F14</f>
        <v>норматив на 2023 год :</v>
      </c>
      <c r="G153" s="275">
        <v>11</v>
      </c>
      <c r="H153" s="65" t="s">
        <v>294</v>
      </c>
      <c r="I153" s="69">
        <f>ROUNDUP(I152*(1.0822),2)</f>
        <v>999.56999999999994</v>
      </c>
      <c r="J153" s="67" t="s">
        <v>41</v>
      </c>
      <c r="K153" s="275">
        <f>G153*I153</f>
        <v>10995.269999999999</v>
      </c>
      <c r="L153" s="67" t="s">
        <v>41</v>
      </c>
      <c r="M153" s="70">
        <f>ROUNDUP((K153),0)</f>
        <v>10996</v>
      </c>
      <c r="N153" s="71" t="s">
        <v>37</v>
      </c>
      <c r="O153" s="70">
        <f t="shared" si="66"/>
        <v>11000</v>
      </c>
      <c r="P153" s="67" t="s">
        <v>332</v>
      </c>
      <c r="Q153" s="72"/>
      <c r="R153" s="72"/>
      <c r="S153" s="65"/>
      <c r="T153" s="502"/>
      <c r="U153" s="502"/>
      <c r="V153" s="502"/>
      <c r="W153" s="274" t="str">
        <f>""&amp;TEXT(G153,"0,0")&amp;" шт. х "&amp;TEXT(ROUND((K153/G153),2),"0,00")&amp;" руб. = "&amp;TEXT(ROUND((G153*(ROUND((K153/G153),2))),2),"0 000,00")&amp;" руб. = "&amp;TEXT(M153,"0 000,00")&amp;" руб.= "&amp;TEXT(O153,"0 000,00")&amp;" руб."</f>
        <v>11,0 шт. х 999,57 руб. = 10 995,27 руб. = 10 996,00 руб.= 11 000,00 руб.</v>
      </c>
    </row>
    <row r="154" spans="1:23" ht="23.25" customHeight="1" x14ac:dyDescent="0.25">
      <c r="A154" s="511"/>
      <c r="B154" s="513"/>
      <c r="C154" s="64"/>
      <c r="D154" s="379"/>
      <c r="E154" s="384"/>
      <c r="F154" s="68" t="str">
        <f>F15</f>
        <v>норматив на 2024 год :</v>
      </c>
      <c r="G154" s="275">
        <v>11</v>
      </c>
      <c r="H154" s="67" t="str">
        <f>H153</f>
        <v>шт. х средняя цена с индексом потребительских цен</v>
      </c>
      <c r="I154" s="69">
        <f>ROUNDUP(I153*(1.0487),2)</f>
        <v>1048.25</v>
      </c>
      <c r="J154" s="67" t="s">
        <v>41</v>
      </c>
      <c r="K154" s="275">
        <f t="shared" ref="K154:K155" si="67">G154*I154</f>
        <v>11530.75</v>
      </c>
      <c r="L154" s="67" t="s">
        <v>41</v>
      </c>
      <c r="M154" s="70">
        <f t="shared" ref="M154:M155" si="68">ROUNDUP((K154),0)</f>
        <v>11531</v>
      </c>
      <c r="N154" s="71" t="s">
        <v>37</v>
      </c>
      <c r="O154" s="70">
        <f t="shared" si="66"/>
        <v>11540</v>
      </c>
      <c r="P154" s="67" t="s">
        <v>332</v>
      </c>
      <c r="Q154" s="72"/>
      <c r="R154" s="72"/>
      <c r="S154" s="65"/>
      <c r="T154" s="502"/>
      <c r="U154" s="502"/>
      <c r="V154" s="502"/>
      <c r="W154" s="274" t="str">
        <f t="shared" ref="W154:W155" si="69">""&amp;TEXT(G154,"0,0")&amp;" шт. х "&amp;TEXT(ROUND((K154/G154),2),"0,00")&amp;" руб. = "&amp;TEXT(ROUND((G154*(ROUND((K154/G154),2))),2),"0 000,00")&amp;" руб. = "&amp;TEXT(M154,"0 000,00")&amp;" руб.= "&amp;TEXT(O154,"0 000,00")&amp;" руб."</f>
        <v>11,0 шт. х 1048,25 руб. = 11 530,75 руб. = 11 531,00 руб.= 11 540,00 руб.</v>
      </c>
    </row>
    <row r="155" spans="1:23" ht="23.25" customHeight="1" x14ac:dyDescent="0.25">
      <c r="A155" s="511"/>
      <c r="B155" s="513"/>
      <c r="C155" s="64"/>
      <c r="D155" s="379"/>
      <c r="E155" s="384"/>
      <c r="F155" s="68" t="str">
        <f>F16</f>
        <v>норматив на 2025 год :</v>
      </c>
      <c r="G155" s="275">
        <v>11</v>
      </c>
      <c r="H155" s="67" t="str">
        <f>H153</f>
        <v>шт. х средняя цена с индексом потребительских цен</v>
      </c>
      <c r="I155" s="69">
        <f>ROUNDUP(I154*(1.0457),2)</f>
        <v>1096.1600000000001</v>
      </c>
      <c r="J155" s="67" t="s">
        <v>41</v>
      </c>
      <c r="K155" s="275">
        <f t="shared" si="67"/>
        <v>12057.76</v>
      </c>
      <c r="L155" s="67" t="s">
        <v>41</v>
      </c>
      <c r="M155" s="70">
        <f t="shared" si="68"/>
        <v>12058</v>
      </c>
      <c r="N155" s="71" t="s">
        <v>37</v>
      </c>
      <c r="O155" s="70">
        <f t="shared" si="66"/>
        <v>12060</v>
      </c>
      <c r="P155" s="67" t="s">
        <v>332</v>
      </c>
      <c r="Q155" s="72"/>
      <c r="R155" s="72"/>
      <c r="S155" s="65"/>
      <c r="T155" s="503"/>
      <c r="U155" s="503"/>
      <c r="V155" s="503"/>
      <c r="W155" s="274" t="str">
        <f t="shared" si="69"/>
        <v>11,0 шт. х 1096,16 руб. = 12 057,76 руб. = 12 058,00 руб.= 12 060,00 руб.</v>
      </c>
    </row>
    <row r="156" spans="1:23" ht="100.5" customHeight="1" x14ac:dyDescent="0.25">
      <c r="A156" s="511" t="s">
        <v>314</v>
      </c>
      <c r="B156" s="512" t="s">
        <v>312</v>
      </c>
      <c r="C156" s="64"/>
      <c r="D156" s="378">
        <v>341</v>
      </c>
      <c r="E156" s="378">
        <v>244</v>
      </c>
      <c r="F156" s="380" t="s">
        <v>249</v>
      </c>
      <c r="G156" s="380"/>
      <c r="H156" s="380"/>
      <c r="I156" s="380"/>
      <c r="J156" s="380"/>
      <c r="K156" s="380"/>
      <c r="L156" s="380"/>
      <c r="M156" s="380"/>
      <c r="N156" s="380"/>
      <c r="O156" s="380"/>
      <c r="P156" s="380"/>
      <c r="Q156" s="380"/>
      <c r="R156" s="380"/>
      <c r="S156" s="65"/>
      <c r="T156" s="501">
        <f>O158</f>
        <v>5600</v>
      </c>
      <c r="U156" s="501">
        <f>O159</f>
        <v>5880</v>
      </c>
      <c r="V156" s="501">
        <f>O160</f>
        <v>6140</v>
      </c>
      <c r="W156" s="274" t="s">
        <v>313</v>
      </c>
    </row>
    <row r="157" spans="1:23" ht="23.25" customHeight="1" x14ac:dyDescent="0.25">
      <c r="A157" s="511"/>
      <c r="B157" s="513"/>
      <c r="C157" s="64"/>
      <c r="D157" s="379"/>
      <c r="E157" s="384"/>
      <c r="F157" s="61">
        <v>2022</v>
      </c>
      <c r="G157" s="275">
        <v>64</v>
      </c>
      <c r="H157" s="67" t="s">
        <v>78</v>
      </c>
      <c r="I157" s="275">
        <v>80.819999999999993</v>
      </c>
      <c r="J157" s="67" t="s">
        <v>41</v>
      </c>
      <c r="K157" s="275"/>
      <c r="L157" s="67"/>
      <c r="M157" s="70"/>
      <c r="N157" s="67"/>
      <c r="O157" s="70"/>
      <c r="P157" s="67"/>
      <c r="Q157" s="67"/>
      <c r="R157" s="65"/>
      <c r="S157" s="65"/>
      <c r="T157" s="502"/>
      <c r="U157" s="502"/>
      <c r="V157" s="502"/>
      <c r="W157" s="274"/>
    </row>
    <row r="158" spans="1:23" ht="23.25" customHeight="1" x14ac:dyDescent="0.25">
      <c r="A158" s="511"/>
      <c r="B158" s="513"/>
      <c r="C158" s="64"/>
      <c r="D158" s="379"/>
      <c r="E158" s="384"/>
      <c r="F158" s="68" t="str">
        <f>F14</f>
        <v>норматив на 2023 год :</v>
      </c>
      <c r="G158" s="275">
        <v>64</v>
      </c>
      <c r="H158" s="65" t="s">
        <v>294</v>
      </c>
      <c r="I158" s="69">
        <f>ROUNDUP(I157*(1.0822),2)</f>
        <v>87.47</v>
      </c>
      <c r="J158" s="67" t="s">
        <v>41</v>
      </c>
      <c r="K158" s="275">
        <f>G158*I158</f>
        <v>5598.08</v>
      </c>
      <c r="L158" s="67" t="s">
        <v>41</v>
      </c>
      <c r="M158" s="70">
        <f>ROUNDUP((K158),0)</f>
        <v>5599</v>
      </c>
      <c r="N158" s="71" t="s">
        <v>37</v>
      </c>
      <c r="O158" s="70">
        <f t="shared" ref="O158:O160" si="70">ROUNDUP((M158),-1)</f>
        <v>5600</v>
      </c>
      <c r="P158" s="67" t="s">
        <v>332</v>
      </c>
      <c r="Q158" s="72"/>
      <c r="R158" s="72"/>
      <c r="S158" s="65"/>
      <c r="T158" s="502"/>
      <c r="U158" s="502"/>
      <c r="V158" s="502"/>
      <c r="W158" s="274" t="str">
        <f>""&amp;TEXT(G158,"0,0")&amp;" шт. х "&amp;TEXT(ROUND((K158/G158),2),"0,00")&amp;" руб. = "&amp;TEXT(ROUND((G158*(ROUND((K158/G158),2))),2),"0 000,00")&amp;" руб. = "&amp;TEXT(O158,"0 000,00")&amp;" руб."</f>
        <v>64,0 шт. х 87,47 руб. = 5 598,08 руб. = 5 600,00 руб.</v>
      </c>
    </row>
    <row r="159" spans="1:23" ht="23.25" customHeight="1" x14ac:dyDescent="0.25">
      <c r="A159" s="511"/>
      <c r="B159" s="513"/>
      <c r="C159" s="64"/>
      <c r="D159" s="379"/>
      <c r="E159" s="384"/>
      <c r="F159" s="68" t="str">
        <f>F15</f>
        <v>норматив на 2024 год :</v>
      </c>
      <c r="G159" s="275">
        <v>64</v>
      </c>
      <c r="H159" s="67" t="str">
        <f>H158</f>
        <v>шт. х средняя цена с индексом потребительских цен</v>
      </c>
      <c r="I159" s="69">
        <f>ROUNDUP(I158*(1.0487),2)</f>
        <v>91.73</v>
      </c>
      <c r="J159" s="67" t="s">
        <v>41</v>
      </c>
      <c r="K159" s="275">
        <f t="shared" ref="K159:K160" si="71">G159*I159</f>
        <v>5870.72</v>
      </c>
      <c r="L159" s="67" t="s">
        <v>41</v>
      </c>
      <c r="M159" s="70">
        <f t="shared" ref="M159:M160" si="72">ROUNDUP((K159),0)</f>
        <v>5871</v>
      </c>
      <c r="N159" s="71" t="s">
        <v>37</v>
      </c>
      <c r="O159" s="70">
        <f t="shared" si="70"/>
        <v>5880</v>
      </c>
      <c r="P159" s="67" t="s">
        <v>332</v>
      </c>
      <c r="Q159" s="72"/>
      <c r="R159" s="72"/>
      <c r="S159" s="65"/>
      <c r="T159" s="502"/>
      <c r="U159" s="502"/>
      <c r="V159" s="502"/>
      <c r="W159" s="274" t="str">
        <f t="shared" ref="W159:W160" si="73">""&amp;TEXT(G159,"0,0")&amp;" шт. х "&amp;TEXT(ROUND((K159/G159),2),"0,00")&amp;" руб. = "&amp;TEXT(ROUND((G159*(ROUND((K159/G159),2))),2),"0 000,00")&amp;" руб. = "&amp;TEXT(O159,"0 000,00")&amp;" руб."</f>
        <v>64,0 шт. х 91,73 руб. = 5 870,72 руб. = 5 880,00 руб.</v>
      </c>
    </row>
    <row r="160" spans="1:23" ht="23.25" customHeight="1" x14ac:dyDescent="0.25">
      <c r="A160" s="511"/>
      <c r="B160" s="513"/>
      <c r="C160" s="64"/>
      <c r="D160" s="379"/>
      <c r="E160" s="384"/>
      <c r="F160" s="68" t="str">
        <f>F16</f>
        <v>норматив на 2025 год :</v>
      </c>
      <c r="G160" s="275">
        <v>64</v>
      </c>
      <c r="H160" s="67" t="str">
        <f>H158</f>
        <v>шт. х средняя цена с индексом потребительских цен</v>
      </c>
      <c r="I160" s="69">
        <f>ROUNDUP(I159*(1.0457),2)</f>
        <v>95.93</v>
      </c>
      <c r="J160" s="67" t="s">
        <v>41</v>
      </c>
      <c r="K160" s="275">
        <f t="shared" si="71"/>
        <v>6139.52</v>
      </c>
      <c r="L160" s="67" t="s">
        <v>41</v>
      </c>
      <c r="M160" s="70">
        <f t="shared" si="72"/>
        <v>6140</v>
      </c>
      <c r="N160" s="71" t="s">
        <v>37</v>
      </c>
      <c r="O160" s="70">
        <f t="shared" si="70"/>
        <v>6140</v>
      </c>
      <c r="P160" s="67" t="s">
        <v>332</v>
      </c>
      <c r="Q160" s="72"/>
      <c r="R160" s="72"/>
      <c r="S160" s="65"/>
      <c r="T160" s="503"/>
      <c r="U160" s="503"/>
      <c r="V160" s="503"/>
      <c r="W160" s="274" t="str">
        <f t="shared" si="73"/>
        <v>64,0 шт. х 95,93 руб. = 6 139,52 руб. = 6 140,00 руб.</v>
      </c>
    </row>
    <row r="161" spans="1:23" ht="107.25" customHeight="1" x14ac:dyDescent="0.25">
      <c r="A161" s="511" t="s">
        <v>317</v>
      </c>
      <c r="B161" s="512" t="s">
        <v>315</v>
      </c>
      <c r="C161" s="64"/>
      <c r="D161" s="378">
        <v>341</v>
      </c>
      <c r="E161" s="378">
        <v>244</v>
      </c>
      <c r="F161" s="380" t="s">
        <v>249</v>
      </c>
      <c r="G161" s="380"/>
      <c r="H161" s="380"/>
      <c r="I161" s="380"/>
      <c r="J161" s="380"/>
      <c r="K161" s="380"/>
      <c r="L161" s="380"/>
      <c r="M161" s="380"/>
      <c r="N161" s="380"/>
      <c r="O161" s="380"/>
      <c r="P161" s="380"/>
      <c r="Q161" s="380"/>
      <c r="R161" s="380"/>
      <c r="S161" s="65"/>
      <c r="T161" s="501">
        <f>O163</f>
        <v>6080</v>
      </c>
      <c r="U161" s="501">
        <f>O164</f>
        <v>6370</v>
      </c>
      <c r="V161" s="501">
        <f>O165</f>
        <v>6660</v>
      </c>
      <c r="W161" s="274" t="s">
        <v>316</v>
      </c>
    </row>
    <row r="162" spans="1:23" ht="23.25" customHeight="1" x14ac:dyDescent="0.25">
      <c r="A162" s="511"/>
      <c r="B162" s="513"/>
      <c r="C162" s="64"/>
      <c r="D162" s="379"/>
      <c r="E162" s="384"/>
      <c r="F162" s="61">
        <v>2022</v>
      </c>
      <c r="G162" s="275">
        <v>64</v>
      </c>
      <c r="H162" s="67" t="s">
        <v>78</v>
      </c>
      <c r="I162" s="275">
        <v>87.67</v>
      </c>
      <c r="J162" s="67" t="s">
        <v>41</v>
      </c>
      <c r="K162" s="275">
        <f>ROUND((G162*I162),2)</f>
        <v>5610.88</v>
      </c>
      <c r="L162" s="67" t="s">
        <v>37</v>
      </c>
      <c r="M162" s="67"/>
      <c r="N162" s="67"/>
      <c r="O162" s="70">
        <f t="shared" ref="O162:O165" si="74">ROUNDUP((M162),-1)</f>
        <v>0</v>
      </c>
      <c r="P162" s="67"/>
      <c r="Q162" s="67"/>
      <c r="R162" s="65"/>
      <c r="S162" s="65"/>
      <c r="T162" s="502"/>
      <c r="U162" s="502"/>
      <c r="V162" s="502"/>
      <c r="W162" s="274"/>
    </row>
    <row r="163" spans="1:23" ht="23.25" customHeight="1" x14ac:dyDescent="0.25">
      <c r="A163" s="511"/>
      <c r="B163" s="513"/>
      <c r="C163" s="64"/>
      <c r="D163" s="379"/>
      <c r="E163" s="384"/>
      <c r="F163" s="68" t="str">
        <f>F14</f>
        <v>норматив на 2023 год :</v>
      </c>
      <c r="G163" s="275">
        <v>64</v>
      </c>
      <c r="H163" s="65" t="s">
        <v>294</v>
      </c>
      <c r="I163" s="69">
        <f>ROUNDUP(I162*(1.0822),2)</f>
        <v>94.88000000000001</v>
      </c>
      <c r="J163" s="67" t="s">
        <v>41</v>
      </c>
      <c r="K163" s="275">
        <f>G163*I163</f>
        <v>6072.3200000000006</v>
      </c>
      <c r="L163" s="67" t="s">
        <v>41</v>
      </c>
      <c r="M163" s="70">
        <f>ROUNDUP((K163),0)</f>
        <v>6073</v>
      </c>
      <c r="N163" s="71" t="s">
        <v>37</v>
      </c>
      <c r="O163" s="70">
        <f t="shared" si="74"/>
        <v>6080</v>
      </c>
      <c r="P163" s="67" t="s">
        <v>332</v>
      </c>
      <c r="Q163" s="72"/>
      <c r="R163" s="72"/>
      <c r="S163" s="65"/>
      <c r="T163" s="502"/>
      <c r="U163" s="502"/>
      <c r="V163" s="502"/>
      <c r="W163" s="274" t="str">
        <f>""&amp;TEXT(G163,"0,0")&amp;" шт. х "&amp;TEXT(ROUND((K163/G163),2),"0,00")&amp;" руб. = "&amp;TEXT(ROUND((G163*(ROUND((K163/G163),2))),2),"0 000,00")&amp;" руб. = "&amp;TEXT(O163,"0 000,00")&amp;" руб."</f>
        <v>64,0 шт. х 94,88 руб. = 6 072,32 руб. = 6 080,00 руб.</v>
      </c>
    </row>
    <row r="164" spans="1:23" ht="23.25" customHeight="1" x14ac:dyDescent="0.25">
      <c r="A164" s="511"/>
      <c r="B164" s="513"/>
      <c r="C164" s="64"/>
      <c r="D164" s="379"/>
      <c r="E164" s="384"/>
      <c r="F164" s="68" t="str">
        <f>F15</f>
        <v>норматив на 2024 год :</v>
      </c>
      <c r="G164" s="275">
        <v>64</v>
      </c>
      <c r="H164" s="67" t="str">
        <f>H163</f>
        <v>шт. х средняя цена с индексом потребительских цен</v>
      </c>
      <c r="I164" s="69">
        <f>ROUNDUP(I163*(1.0487),2)</f>
        <v>99.51</v>
      </c>
      <c r="J164" s="67" t="s">
        <v>41</v>
      </c>
      <c r="K164" s="275">
        <f t="shared" ref="K164:K165" si="75">G164*I164</f>
        <v>6368.64</v>
      </c>
      <c r="L164" s="67" t="s">
        <v>41</v>
      </c>
      <c r="M164" s="70">
        <f t="shared" ref="M164:M165" si="76">ROUNDUP((K164),0)</f>
        <v>6369</v>
      </c>
      <c r="N164" s="71" t="s">
        <v>37</v>
      </c>
      <c r="O164" s="70">
        <f t="shared" si="74"/>
        <v>6370</v>
      </c>
      <c r="P164" s="67" t="s">
        <v>332</v>
      </c>
      <c r="Q164" s="72"/>
      <c r="R164" s="72"/>
      <c r="S164" s="65"/>
      <c r="T164" s="502"/>
      <c r="U164" s="502"/>
      <c r="V164" s="502"/>
      <c r="W164" s="274" t="str">
        <f t="shared" ref="W164:W165" si="77">""&amp;TEXT(G164,"0,0")&amp;" шт. х "&amp;TEXT(ROUND((K164/G164),2),"0,00")&amp;" руб. = "&amp;TEXT(ROUND((G164*(ROUND((K164/G164),2))),2),"0 000,00")&amp;" руб. = "&amp;TEXT(O164,"0 000,00")&amp;" руб."</f>
        <v>64,0 шт. х 99,51 руб. = 6 368,64 руб. = 6 370,00 руб.</v>
      </c>
    </row>
    <row r="165" spans="1:23" ht="23.25" customHeight="1" x14ac:dyDescent="0.25">
      <c r="A165" s="511"/>
      <c r="B165" s="513"/>
      <c r="C165" s="64"/>
      <c r="D165" s="379"/>
      <c r="E165" s="384"/>
      <c r="F165" s="68" t="str">
        <f>F16</f>
        <v>норматив на 2025 год :</v>
      </c>
      <c r="G165" s="275">
        <v>64</v>
      </c>
      <c r="H165" s="67" t="str">
        <f>H163</f>
        <v>шт. х средняя цена с индексом потребительских цен</v>
      </c>
      <c r="I165" s="69">
        <f>ROUNDUP(I164*(1.0457),2)</f>
        <v>104.06</v>
      </c>
      <c r="J165" s="67" t="s">
        <v>41</v>
      </c>
      <c r="K165" s="275">
        <f t="shared" si="75"/>
        <v>6659.84</v>
      </c>
      <c r="L165" s="67" t="s">
        <v>41</v>
      </c>
      <c r="M165" s="70">
        <f t="shared" si="76"/>
        <v>6660</v>
      </c>
      <c r="N165" s="71" t="s">
        <v>37</v>
      </c>
      <c r="O165" s="70">
        <f t="shared" si="74"/>
        <v>6660</v>
      </c>
      <c r="P165" s="67" t="s">
        <v>332</v>
      </c>
      <c r="Q165" s="72"/>
      <c r="R165" s="72"/>
      <c r="S165" s="65"/>
      <c r="T165" s="503"/>
      <c r="U165" s="503"/>
      <c r="V165" s="503"/>
      <c r="W165" s="274" t="str">
        <f t="shared" si="77"/>
        <v>64,0 шт. х 104,06 руб. = 6 659,84 руб. = 6 660,00 руб.</v>
      </c>
    </row>
    <row r="166" spans="1:23" ht="111" customHeight="1" x14ac:dyDescent="0.25">
      <c r="A166" s="511" t="s">
        <v>320</v>
      </c>
      <c r="B166" s="512" t="s">
        <v>318</v>
      </c>
      <c r="C166" s="64"/>
      <c r="D166" s="378">
        <v>346</v>
      </c>
      <c r="E166" s="378">
        <v>244</v>
      </c>
      <c r="F166" s="380" t="s">
        <v>249</v>
      </c>
      <c r="G166" s="380"/>
      <c r="H166" s="380"/>
      <c r="I166" s="380"/>
      <c r="J166" s="380"/>
      <c r="K166" s="380"/>
      <c r="L166" s="380"/>
      <c r="M166" s="380"/>
      <c r="N166" s="380"/>
      <c r="O166" s="380"/>
      <c r="P166" s="380"/>
      <c r="Q166" s="380"/>
      <c r="R166" s="380"/>
      <c r="S166" s="65"/>
      <c r="T166" s="501">
        <f>O168</f>
        <v>15540</v>
      </c>
      <c r="U166" s="501">
        <f>O169</f>
        <v>16300</v>
      </c>
      <c r="V166" s="501">
        <f>O170</f>
        <v>17050</v>
      </c>
      <c r="W166" s="274" t="s">
        <v>319</v>
      </c>
    </row>
    <row r="167" spans="1:23" ht="23.25" customHeight="1" x14ac:dyDescent="0.25">
      <c r="A167" s="511"/>
      <c r="B167" s="513"/>
      <c r="C167" s="64"/>
      <c r="D167" s="379"/>
      <c r="E167" s="384"/>
      <c r="F167" s="61">
        <v>2022</v>
      </c>
      <c r="G167" s="275">
        <v>20</v>
      </c>
      <c r="H167" s="67" t="s">
        <v>78</v>
      </c>
      <c r="I167" s="275">
        <f>ROUNDUP((14358.6/20),2)</f>
        <v>717.93</v>
      </c>
      <c r="J167" s="67" t="s">
        <v>41</v>
      </c>
      <c r="K167" s="275">
        <f>ROUND((G167*I167),2)</f>
        <v>14358.6</v>
      </c>
      <c r="L167" s="67" t="s">
        <v>37</v>
      </c>
      <c r="M167" s="67"/>
      <c r="N167" s="67"/>
      <c r="O167" s="70">
        <f t="shared" ref="O167:O170" si="78">ROUNDUP((M167),-1)</f>
        <v>0</v>
      </c>
      <c r="P167" s="67"/>
      <c r="Q167" s="67"/>
      <c r="R167" s="65"/>
      <c r="S167" s="65"/>
      <c r="T167" s="502"/>
      <c r="U167" s="502"/>
      <c r="V167" s="502"/>
      <c r="W167" s="274"/>
    </row>
    <row r="168" spans="1:23" ht="23.25" customHeight="1" x14ac:dyDescent="0.25">
      <c r="A168" s="511"/>
      <c r="B168" s="513"/>
      <c r="C168" s="64"/>
      <c r="D168" s="379"/>
      <c r="E168" s="384"/>
      <c r="F168" s="68" t="str">
        <f>F14</f>
        <v>норматив на 2023 год :</v>
      </c>
      <c r="G168" s="275">
        <v>20</v>
      </c>
      <c r="H168" s="65" t="s">
        <v>294</v>
      </c>
      <c r="I168" s="69">
        <f>ROUNDUP(I167*(1.0822),2)</f>
        <v>776.95</v>
      </c>
      <c r="J168" s="67" t="s">
        <v>41</v>
      </c>
      <c r="K168" s="275">
        <f>G168*I168</f>
        <v>15539</v>
      </c>
      <c r="L168" s="67" t="s">
        <v>41</v>
      </c>
      <c r="M168" s="70">
        <f>ROUNDUP((K168),0)</f>
        <v>15539</v>
      </c>
      <c r="N168" s="71" t="s">
        <v>37</v>
      </c>
      <c r="O168" s="70">
        <f t="shared" si="78"/>
        <v>15540</v>
      </c>
      <c r="P168" s="67" t="s">
        <v>332</v>
      </c>
      <c r="Q168" s="72"/>
      <c r="R168" s="72"/>
      <c r="S168" s="65"/>
      <c r="T168" s="502"/>
      <c r="U168" s="502"/>
      <c r="V168" s="502"/>
      <c r="W168" s="274" t="str">
        <f>""&amp;TEXT(G168,"0,0")&amp;" шт. х "&amp;TEXT(ROUND((K168/G168),2),"0,00")&amp;" руб. = "&amp;TEXT(ROUND((G168*(ROUND((K168/G168),2))),2),"0 000,00")&amp;" руб. = "&amp;TEXT(O168,"0 000,00")&amp;" руб."</f>
        <v>20,0 шт. х 776,95 руб. = 15 539,00 руб. = 15 540,00 руб.</v>
      </c>
    </row>
    <row r="169" spans="1:23" ht="23.25" customHeight="1" x14ac:dyDescent="0.25">
      <c r="A169" s="511"/>
      <c r="B169" s="513"/>
      <c r="C169" s="64"/>
      <c r="D169" s="379"/>
      <c r="E169" s="384"/>
      <c r="F169" s="68" t="str">
        <f>F15</f>
        <v>норматив на 2024 год :</v>
      </c>
      <c r="G169" s="275">
        <v>20</v>
      </c>
      <c r="H169" s="67" t="str">
        <f>H168</f>
        <v>шт. х средняя цена с индексом потребительских цен</v>
      </c>
      <c r="I169" s="69">
        <f>ROUNDUP(I168*(1.0487),2)</f>
        <v>814.79</v>
      </c>
      <c r="J169" s="67" t="s">
        <v>41</v>
      </c>
      <c r="K169" s="275">
        <f t="shared" ref="K169:K170" si="79">G169*I169</f>
        <v>16295.8</v>
      </c>
      <c r="L169" s="67" t="s">
        <v>41</v>
      </c>
      <c r="M169" s="70">
        <f t="shared" ref="M169:M170" si="80">ROUNDUP((K169),0)</f>
        <v>16296</v>
      </c>
      <c r="N169" s="71" t="s">
        <v>37</v>
      </c>
      <c r="O169" s="70">
        <f t="shared" si="78"/>
        <v>16300</v>
      </c>
      <c r="P169" s="67" t="s">
        <v>332</v>
      </c>
      <c r="Q169" s="72"/>
      <c r="R169" s="72"/>
      <c r="S169" s="65"/>
      <c r="T169" s="502"/>
      <c r="U169" s="502"/>
      <c r="V169" s="502"/>
      <c r="W169" s="274" t="str">
        <f t="shared" ref="W169:W170" si="81">""&amp;TEXT(G169,"0,0")&amp;" шт. х "&amp;TEXT(ROUND((K169/G169),2),"0,00")&amp;" руб. = "&amp;TEXT(ROUND((G169*(ROUND((K169/G169),2))),2),"0 000,00")&amp;" руб. = "&amp;TEXT(O169,"0 000,00")&amp;" руб."</f>
        <v>20,0 шт. х 814,79 руб. = 16 295,80 руб. = 16 300,00 руб.</v>
      </c>
    </row>
    <row r="170" spans="1:23" ht="23.25" customHeight="1" x14ac:dyDescent="0.25">
      <c r="A170" s="511"/>
      <c r="B170" s="513"/>
      <c r="C170" s="64"/>
      <c r="D170" s="379"/>
      <c r="E170" s="384"/>
      <c r="F170" s="68" t="str">
        <f>F16</f>
        <v>норматив на 2025 год :</v>
      </c>
      <c r="G170" s="275">
        <v>20</v>
      </c>
      <c r="H170" s="67" t="str">
        <f>H168</f>
        <v>шт. х средняя цена с индексом потребительских цен</v>
      </c>
      <c r="I170" s="69">
        <f>ROUNDUP(I169*(1.0457),2)</f>
        <v>852.03</v>
      </c>
      <c r="J170" s="67" t="s">
        <v>41</v>
      </c>
      <c r="K170" s="275">
        <f t="shared" si="79"/>
        <v>17040.599999999999</v>
      </c>
      <c r="L170" s="67" t="s">
        <v>41</v>
      </c>
      <c r="M170" s="70">
        <f t="shared" si="80"/>
        <v>17041</v>
      </c>
      <c r="N170" s="71" t="s">
        <v>37</v>
      </c>
      <c r="O170" s="70">
        <f t="shared" si="78"/>
        <v>17050</v>
      </c>
      <c r="P170" s="67" t="s">
        <v>332</v>
      </c>
      <c r="Q170" s="72"/>
      <c r="R170" s="72"/>
      <c r="S170" s="65"/>
      <c r="T170" s="503"/>
      <c r="U170" s="503"/>
      <c r="V170" s="503"/>
      <c r="W170" s="274" t="str">
        <f t="shared" si="81"/>
        <v>20,0 шт. х 852,03 руб. = 17 040,60 руб. = 17 050,00 руб.</v>
      </c>
    </row>
    <row r="171" spans="1:23" ht="90" x14ac:dyDescent="0.25">
      <c r="A171" s="511" t="s">
        <v>354</v>
      </c>
      <c r="B171" s="512" t="s">
        <v>214</v>
      </c>
      <c r="C171" s="64"/>
      <c r="D171" s="378">
        <v>346</v>
      </c>
      <c r="E171" s="378">
        <v>244</v>
      </c>
      <c r="F171" s="380" t="s">
        <v>249</v>
      </c>
      <c r="G171" s="380"/>
      <c r="H171" s="380"/>
      <c r="I171" s="380"/>
      <c r="J171" s="380"/>
      <c r="K171" s="380"/>
      <c r="L171" s="380"/>
      <c r="M171" s="380"/>
      <c r="N171" s="380"/>
      <c r="O171" s="380"/>
      <c r="P171" s="380"/>
      <c r="Q171" s="380"/>
      <c r="R171" s="380"/>
      <c r="S171" s="65"/>
      <c r="T171" s="485">
        <f>M173</f>
        <v>657450</v>
      </c>
      <c r="U171" s="485">
        <f>M174</f>
        <v>689580</v>
      </c>
      <c r="V171" s="485">
        <f>M175</f>
        <v>721170</v>
      </c>
      <c r="W171" s="279" t="s">
        <v>215</v>
      </c>
    </row>
    <row r="172" spans="1:23" ht="20.25" customHeight="1" outlineLevel="1" x14ac:dyDescent="0.25">
      <c r="A172" s="511"/>
      <c r="B172" s="513"/>
      <c r="C172" s="64"/>
      <c r="D172" s="379"/>
      <c r="E172" s="384"/>
      <c r="F172" s="61">
        <v>2022</v>
      </c>
      <c r="G172" s="280"/>
      <c r="H172" s="67" t="s">
        <v>335</v>
      </c>
      <c r="I172" s="280">
        <v>45</v>
      </c>
      <c r="J172" s="67" t="s">
        <v>41</v>
      </c>
      <c r="K172" s="280">
        <f>ROUND((G172*I172),2)</f>
        <v>0</v>
      </c>
      <c r="L172" s="67" t="s">
        <v>37</v>
      </c>
      <c r="M172" s="67"/>
      <c r="N172" s="67"/>
      <c r="O172" s="70">
        <f t="shared" ref="O172:O175" si="82">ROUNDUP((M172),-1)</f>
        <v>0</v>
      </c>
      <c r="P172" s="67"/>
      <c r="Q172" s="67"/>
      <c r="R172" s="65"/>
      <c r="S172" s="65"/>
      <c r="T172" s="485"/>
      <c r="U172" s="485"/>
      <c r="V172" s="485"/>
      <c r="W172" s="279"/>
    </row>
    <row r="173" spans="1:23" ht="24.75" customHeight="1" x14ac:dyDescent="0.25">
      <c r="A173" s="511"/>
      <c r="B173" s="513"/>
      <c r="C173" s="64"/>
      <c r="D173" s="379"/>
      <c r="E173" s="384"/>
      <c r="F173" s="68" t="s">
        <v>193</v>
      </c>
      <c r="G173" s="280">
        <v>13500</v>
      </c>
      <c r="H173" s="243" t="s">
        <v>294</v>
      </c>
      <c r="I173" s="69">
        <f>ROUNDUP(I172*(1.0822),2)</f>
        <v>48.699999999999996</v>
      </c>
      <c r="J173" s="67" t="s">
        <v>41</v>
      </c>
      <c r="K173" s="280">
        <f>ROUND((G173*I173),2)</f>
        <v>657450</v>
      </c>
      <c r="L173" s="67" t="s">
        <v>41</v>
      </c>
      <c r="M173" s="70">
        <f>ROUNDUP((K173),0)</f>
        <v>657450</v>
      </c>
      <c r="N173" s="71" t="s">
        <v>37</v>
      </c>
      <c r="O173" s="70">
        <f t="shared" si="82"/>
        <v>657450</v>
      </c>
      <c r="P173" s="67" t="s">
        <v>332</v>
      </c>
      <c r="Q173" s="72"/>
      <c r="R173" s="72"/>
      <c r="S173" s="65"/>
      <c r="T173" s="485"/>
      <c r="U173" s="485"/>
      <c r="V173" s="485"/>
      <c r="W173" s="279" t="str">
        <f>""&amp;TEXT(G173,"0,0")&amp;" шт. х "&amp;TEXT(ROUND((I173),2),"0,00")&amp;" руб. = "&amp;TEXT(ROUND((K173),2),"0 000,00")&amp;" руб. = "&amp;TEXT(M173,"0 000,00")&amp;" руб."</f>
        <v>13500,0 шт. х 48,70 руб. = 657 450,00 руб. = 657 450,00 руб.</v>
      </c>
    </row>
    <row r="174" spans="1:23" ht="24.75" customHeight="1" x14ac:dyDescent="0.25">
      <c r="A174" s="511"/>
      <c r="B174" s="513"/>
      <c r="C174" s="64"/>
      <c r="D174" s="379"/>
      <c r="E174" s="384"/>
      <c r="F174" s="68" t="s">
        <v>226</v>
      </c>
      <c r="G174" s="280">
        <f>G173</f>
        <v>13500</v>
      </c>
      <c r="H174" s="243" t="s">
        <v>294</v>
      </c>
      <c r="I174" s="69">
        <f>ROUNDUP(I173*(1.0487),2)</f>
        <v>51.08</v>
      </c>
      <c r="J174" s="67" t="s">
        <v>41</v>
      </c>
      <c r="K174" s="280">
        <f t="shared" ref="K174:K175" si="83">ROUND((G174*I174),2)</f>
        <v>689580</v>
      </c>
      <c r="L174" s="67" t="s">
        <v>41</v>
      </c>
      <c r="M174" s="70">
        <f t="shared" ref="M174:M175" si="84">ROUNDUP((K174),0)</f>
        <v>689580</v>
      </c>
      <c r="N174" s="71" t="s">
        <v>37</v>
      </c>
      <c r="O174" s="70">
        <f t="shared" si="82"/>
        <v>689580</v>
      </c>
      <c r="P174" s="67" t="s">
        <v>332</v>
      </c>
      <c r="Q174" s="72"/>
      <c r="R174" s="72"/>
      <c r="S174" s="65"/>
      <c r="T174" s="485"/>
      <c r="U174" s="485"/>
      <c r="V174" s="485"/>
      <c r="W174" s="279" t="str">
        <f t="shared" ref="W174:W175" si="85">""&amp;TEXT(G174,"0,0")&amp;" шт. х "&amp;TEXT(ROUND((I174),2),"0,00")&amp;" руб. = "&amp;TEXT(ROUND((K174),2),"0 000,00")&amp;" руб. = "&amp;TEXT(M174,"0 000,00")&amp;" руб."</f>
        <v>13500,0 шт. х 51,08 руб. = 689 580,00 руб. = 689 580,00 руб.</v>
      </c>
    </row>
    <row r="175" spans="1:23" ht="24.75" customHeight="1" x14ac:dyDescent="0.25">
      <c r="A175" s="511"/>
      <c r="B175" s="513"/>
      <c r="C175" s="64"/>
      <c r="D175" s="379"/>
      <c r="E175" s="384"/>
      <c r="F175" s="68" t="s">
        <v>240</v>
      </c>
      <c r="G175" s="280">
        <f>G174</f>
        <v>13500</v>
      </c>
      <c r="H175" s="243" t="s">
        <v>294</v>
      </c>
      <c r="I175" s="69">
        <f>ROUNDUP(I174*(1.0457),2)</f>
        <v>53.419999999999995</v>
      </c>
      <c r="J175" s="67" t="s">
        <v>41</v>
      </c>
      <c r="K175" s="280">
        <f t="shared" si="83"/>
        <v>721170</v>
      </c>
      <c r="L175" s="67" t="s">
        <v>41</v>
      </c>
      <c r="M175" s="70">
        <f t="shared" si="84"/>
        <v>721170</v>
      </c>
      <c r="N175" s="71" t="s">
        <v>37</v>
      </c>
      <c r="O175" s="70">
        <f t="shared" si="82"/>
        <v>721170</v>
      </c>
      <c r="P175" s="67" t="s">
        <v>332</v>
      </c>
      <c r="Q175" s="70"/>
      <c r="R175" s="71"/>
      <c r="S175" s="65"/>
      <c r="T175" s="486"/>
      <c r="U175" s="486"/>
      <c r="V175" s="486"/>
      <c r="W175" s="279" t="str">
        <f t="shared" si="85"/>
        <v>13500,0 шт. х 53,42 руб. = 721 170,00 руб. = 721 170,00 руб.</v>
      </c>
    </row>
    <row r="176" spans="1:23" s="239" customFormat="1" ht="90" x14ac:dyDescent="0.25">
      <c r="A176" s="504" t="s">
        <v>355</v>
      </c>
      <c r="B176" s="505" t="s">
        <v>219</v>
      </c>
      <c r="C176" s="291"/>
      <c r="D176" s="507">
        <v>346</v>
      </c>
      <c r="E176" s="507">
        <v>244</v>
      </c>
      <c r="F176" s="497" t="s">
        <v>358</v>
      </c>
      <c r="G176" s="497"/>
      <c r="H176" s="497"/>
      <c r="I176" s="497"/>
      <c r="J176" s="497"/>
      <c r="K176" s="497"/>
      <c r="L176" s="497"/>
      <c r="M176" s="497"/>
      <c r="N176" s="497"/>
      <c r="O176" s="497"/>
      <c r="P176" s="497"/>
      <c r="Q176" s="497"/>
      <c r="R176" s="497"/>
      <c r="S176" s="293"/>
      <c r="T176" s="487">
        <f>M178</f>
        <v>35800</v>
      </c>
      <c r="U176" s="487">
        <f>M179</f>
        <v>37544</v>
      </c>
      <c r="V176" s="487">
        <f>M180</f>
        <v>39260</v>
      </c>
      <c r="W176" s="287" t="s">
        <v>359</v>
      </c>
    </row>
    <row r="177" spans="1:23" s="239" customFormat="1" ht="20.25" customHeight="1" outlineLevel="1" x14ac:dyDescent="0.25">
      <c r="A177" s="504"/>
      <c r="B177" s="506"/>
      <c r="C177" s="291"/>
      <c r="D177" s="508"/>
      <c r="E177" s="509"/>
      <c r="F177" s="294"/>
      <c r="G177" s="295"/>
      <c r="H177" s="296" t="s">
        <v>335</v>
      </c>
      <c r="I177" s="295"/>
      <c r="J177" s="296" t="s">
        <v>41</v>
      </c>
      <c r="K177" s="295">
        <f>ROUND((G177*I177),2)</f>
        <v>0</v>
      </c>
      <c r="L177" s="296" t="s">
        <v>37</v>
      </c>
      <c r="M177" s="296"/>
      <c r="N177" s="296"/>
      <c r="O177" s="297">
        <f t="shared" ref="O177:O180" si="86">ROUNDUP((M177),-1)</f>
        <v>0</v>
      </c>
      <c r="P177" s="296"/>
      <c r="Q177" s="296"/>
      <c r="R177" s="293"/>
      <c r="S177" s="293"/>
      <c r="T177" s="487"/>
      <c r="U177" s="487"/>
      <c r="V177" s="487"/>
      <c r="W177" s="287"/>
    </row>
    <row r="178" spans="1:23" s="239" customFormat="1" ht="24.75" customHeight="1" x14ac:dyDescent="0.25">
      <c r="A178" s="504"/>
      <c r="B178" s="506"/>
      <c r="C178" s="291"/>
      <c r="D178" s="508"/>
      <c r="E178" s="509"/>
      <c r="F178" s="298" t="str">
        <f>F14</f>
        <v>норматив на 2023 год :</v>
      </c>
      <c r="G178" s="295">
        <v>4</v>
      </c>
      <c r="H178" s="304" t="s">
        <v>294</v>
      </c>
      <c r="I178" s="305">
        <v>8950</v>
      </c>
      <c r="J178" s="296" t="s">
        <v>41</v>
      </c>
      <c r="K178" s="295">
        <f>ROUND((G178*I178),2)</f>
        <v>35800</v>
      </c>
      <c r="L178" s="296" t="s">
        <v>41</v>
      </c>
      <c r="M178" s="297">
        <f>ROUNDUP((K178),0)</f>
        <v>35800</v>
      </c>
      <c r="N178" s="299" t="s">
        <v>37</v>
      </c>
      <c r="O178" s="297">
        <f t="shared" si="86"/>
        <v>35800</v>
      </c>
      <c r="P178" s="296" t="s">
        <v>332</v>
      </c>
      <c r="Q178" s="300"/>
      <c r="R178" s="300"/>
      <c r="S178" s="293"/>
      <c r="T178" s="487"/>
      <c r="U178" s="487"/>
      <c r="V178" s="487"/>
      <c r="W178" s="287" t="str">
        <f>""&amp;TEXT(G178,"0,0")&amp;" шт. х "&amp;TEXT(ROUND((I178),2),"0,00")&amp;" руб. = "&amp;TEXT(ROUND((K178),2),"0 000,00")&amp;" руб. = "&amp;TEXT(M178,"0 000,00")&amp;" руб."</f>
        <v>4,0 шт. х 8950,00 руб. = 35 800,00 руб. = 35 800,00 руб.</v>
      </c>
    </row>
    <row r="179" spans="1:23" s="239" customFormat="1" ht="24.75" customHeight="1" x14ac:dyDescent="0.25">
      <c r="A179" s="504"/>
      <c r="B179" s="506"/>
      <c r="C179" s="291"/>
      <c r="D179" s="508"/>
      <c r="E179" s="509"/>
      <c r="F179" s="298" t="str">
        <f>F15</f>
        <v>норматив на 2024 год :</v>
      </c>
      <c r="G179" s="295">
        <f>G178</f>
        <v>4</v>
      </c>
      <c r="H179" s="304" t="s">
        <v>294</v>
      </c>
      <c r="I179" s="305">
        <f>ROUNDUP(I178*(1.0487),2)</f>
        <v>9385.8700000000008</v>
      </c>
      <c r="J179" s="296" t="s">
        <v>41</v>
      </c>
      <c r="K179" s="295">
        <f t="shared" ref="K179:K180" si="87">ROUND((G179*I179),2)</f>
        <v>37543.480000000003</v>
      </c>
      <c r="L179" s="296" t="s">
        <v>41</v>
      </c>
      <c r="M179" s="297">
        <f t="shared" ref="M179:M180" si="88">ROUNDUP((K179),0)</f>
        <v>37544</v>
      </c>
      <c r="N179" s="299" t="s">
        <v>37</v>
      </c>
      <c r="O179" s="297">
        <f t="shared" si="86"/>
        <v>37550</v>
      </c>
      <c r="P179" s="296" t="s">
        <v>332</v>
      </c>
      <c r="Q179" s="300"/>
      <c r="R179" s="300"/>
      <c r="S179" s="293"/>
      <c r="T179" s="487"/>
      <c r="U179" s="487"/>
      <c r="V179" s="487"/>
      <c r="W179" s="287" t="str">
        <f t="shared" ref="W179:W180" si="89">""&amp;TEXT(G179,"0,0")&amp;" шт. х "&amp;TEXT(ROUND((I179),2),"0,00")&amp;" руб. = "&amp;TEXT(ROUND((K179),2),"0 000,00")&amp;" руб. = "&amp;TEXT(M179,"0 000,00")&amp;" руб."</f>
        <v>4,0 шт. х 9385,87 руб. = 37 543,48 руб. = 37 544,00 руб.</v>
      </c>
    </row>
    <row r="180" spans="1:23" s="239" customFormat="1" ht="24.75" customHeight="1" x14ac:dyDescent="0.25">
      <c r="A180" s="504"/>
      <c r="B180" s="506"/>
      <c r="C180" s="291"/>
      <c r="D180" s="508"/>
      <c r="E180" s="509"/>
      <c r="F180" s="298" t="str">
        <f>F16</f>
        <v>норматив на 2025 год :</v>
      </c>
      <c r="G180" s="295">
        <f>G179</f>
        <v>4</v>
      </c>
      <c r="H180" s="304" t="s">
        <v>294</v>
      </c>
      <c r="I180" s="305">
        <f>ROUNDUP(I179*(1.0457),2)</f>
        <v>9814.81</v>
      </c>
      <c r="J180" s="296" t="s">
        <v>41</v>
      </c>
      <c r="K180" s="295">
        <f t="shared" si="87"/>
        <v>39259.24</v>
      </c>
      <c r="L180" s="296" t="s">
        <v>41</v>
      </c>
      <c r="M180" s="297">
        <f t="shared" si="88"/>
        <v>39260</v>
      </c>
      <c r="N180" s="299" t="s">
        <v>37</v>
      </c>
      <c r="O180" s="297">
        <f t="shared" si="86"/>
        <v>39260</v>
      </c>
      <c r="P180" s="296" t="s">
        <v>332</v>
      </c>
      <c r="Q180" s="297"/>
      <c r="R180" s="299"/>
      <c r="S180" s="293"/>
      <c r="T180" s="510"/>
      <c r="U180" s="510"/>
      <c r="V180" s="510"/>
      <c r="W180" s="287" t="str">
        <f t="shared" si="89"/>
        <v>4,0 шт. х 9814,81 руб. = 39 259,24 руб. = 39 260,00 руб.</v>
      </c>
    </row>
    <row r="181" spans="1:23" s="303" customFormat="1" ht="99.75" customHeight="1" x14ac:dyDescent="0.25">
      <c r="A181" s="288" t="s">
        <v>19</v>
      </c>
      <c r="B181" s="289" t="s">
        <v>93</v>
      </c>
      <c r="C181" s="301"/>
      <c r="D181" s="302" t="s">
        <v>35</v>
      </c>
      <c r="E181" s="302" t="s">
        <v>35</v>
      </c>
      <c r="F181" s="479"/>
      <c r="G181" s="480"/>
      <c r="H181" s="480"/>
      <c r="I181" s="480"/>
      <c r="J181" s="480"/>
      <c r="K181" s="480"/>
      <c r="L181" s="480"/>
      <c r="M181" s="480"/>
      <c r="N181" s="480"/>
      <c r="O181" s="480"/>
      <c r="P181" s="480"/>
      <c r="Q181" s="480"/>
      <c r="R181" s="480"/>
      <c r="S181" s="480"/>
      <c r="T181" s="290">
        <f>T182+T187+T192+T197+T202+T207+T212</f>
        <v>4024360</v>
      </c>
      <c r="U181" s="290">
        <f t="shared" ref="U181:V181" si="90">U182+U187+U192+U197+U202+U207+U212</f>
        <v>4220350</v>
      </c>
      <c r="V181" s="290">
        <f t="shared" si="90"/>
        <v>4413220</v>
      </c>
      <c r="W181" s="287" t="str">
        <f>"Нормативные "&amp;TEXT(B181,"0")&amp;" включают в себя:
нормативные "&amp;TEXT(B182,"0")&amp;";
нормативные "&amp;TEXT(B187,"0")&amp;";
нормативные "&amp;TEXT(B192,"0")&amp;"; нормативные "&amp;TEXT(B197,"0")&amp;"; нормативные "&amp;TEXT(B202,"0")&amp;"; нормативные "&amp;TEXT(B207,"0")&amp;"; нормативные "&amp;TEXT(B212,"0")&amp;""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
нормативные затраты на оказание услуг по обучению персонала;
нормативные затраты на оказание нотариальных услуг; нормативные затраты на оказание архивных услуг по переплету документов; нормативные затраты на оказание услуг по составлению архивной описи; нормативные затраты на оказание услуг по проведению специальной оценки условий труда; нормативные затраты на оказание услуг по проведению  оценки профессиональных рисков</v>
      </c>
    </row>
    <row r="182" spans="1:23" ht="102" customHeight="1" x14ac:dyDescent="0.25">
      <c r="A182" s="383" t="s">
        <v>20</v>
      </c>
      <c r="B182" s="376" t="s">
        <v>189</v>
      </c>
      <c r="C182" s="64"/>
      <c r="D182" s="378">
        <v>226</v>
      </c>
      <c r="E182" s="378">
        <v>244</v>
      </c>
      <c r="F182" s="380" t="s">
        <v>249</v>
      </c>
      <c r="G182" s="380"/>
      <c r="H182" s="380"/>
      <c r="I182" s="380"/>
      <c r="J182" s="380"/>
      <c r="K182" s="380"/>
      <c r="L182" s="380"/>
      <c r="M182" s="380"/>
      <c r="N182" s="380"/>
      <c r="O182" s="380"/>
      <c r="P182" s="380"/>
      <c r="Q182" s="380"/>
      <c r="R182" s="380"/>
      <c r="S182" s="65"/>
      <c r="T182" s="485">
        <f>O184</f>
        <v>229000</v>
      </c>
      <c r="U182" s="485">
        <f>O185</f>
        <v>240150</v>
      </c>
      <c r="V182" s="485">
        <f>O186</f>
        <v>251130</v>
      </c>
      <c r="W182" s="274" t="s">
        <v>210</v>
      </c>
    </row>
    <row r="183" spans="1:23" ht="18" customHeight="1" outlineLevel="1" x14ac:dyDescent="0.25">
      <c r="A183" s="437"/>
      <c r="B183" s="377"/>
      <c r="C183" s="64"/>
      <c r="D183" s="379"/>
      <c r="E183" s="384"/>
      <c r="F183" s="61">
        <v>2022</v>
      </c>
      <c r="G183" s="275">
        <v>46</v>
      </c>
      <c r="H183" s="67" t="s">
        <v>60</v>
      </c>
      <c r="I183" s="275">
        <v>4600</v>
      </c>
      <c r="J183" s="67" t="s">
        <v>41</v>
      </c>
      <c r="K183" s="275">
        <f>ROUND((G183*I183),2)</f>
        <v>211600</v>
      </c>
      <c r="L183" s="67" t="s">
        <v>37</v>
      </c>
      <c r="M183" s="67"/>
      <c r="N183" s="67"/>
      <c r="O183" s="70">
        <f t="shared" ref="O183:O186" si="91">ROUNDUP((M183),-1)</f>
        <v>0</v>
      </c>
      <c r="P183" s="67"/>
      <c r="Q183" s="67"/>
      <c r="R183" s="65"/>
      <c r="S183" s="65"/>
      <c r="T183" s="485"/>
      <c r="U183" s="485"/>
      <c r="V183" s="485"/>
      <c r="W183" s="274"/>
    </row>
    <row r="184" spans="1:23" ht="19.5" customHeight="1" x14ac:dyDescent="0.25">
      <c r="A184" s="437"/>
      <c r="B184" s="377"/>
      <c r="C184" s="64"/>
      <c r="D184" s="379"/>
      <c r="E184" s="384"/>
      <c r="F184" s="68" t="str">
        <f>F14</f>
        <v>норматив на 2023 год :</v>
      </c>
      <c r="G184" s="275">
        <v>46</v>
      </c>
      <c r="H184" s="67" t="s">
        <v>333</v>
      </c>
      <c r="I184" s="275">
        <f>I183*1.0822</f>
        <v>4978.12</v>
      </c>
      <c r="J184" s="67" t="s">
        <v>41</v>
      </c>
      <c r="K184" s="275">
        <f>ROUND((G184*I184),2)</f>
        <v>228993.52</v>
      </c>
      <c r="L184" s="67" t="s">
        <v>41</v>
      </c>
      <c r="M184" s="70">
        <f>ROUNDUP((K184),0)</f>
        <v>228994</v>
      </c>
      <c r="N184" s="71" t="s">
        <v>37</v>
      </c>
      <c r="O184" s="70">
        <f t="shared" si="91"/>
        <v>229000</v>
      </c>
      <c r="P184" s="67" t="s">
        <v>332</v>
      </c>
      <c r="Q184" s="72"/>
      <c r="R184" s="72"/>
      <c r="S184" s="65"/>
      <c r="T184" s="485"/>
      <c r="U184" s="485"/>
      <c r="V184" s="485"/>
      <c r="W184" s="274" t="str">
        <f>""&amp;TEXT($G$183,"0,0")&amp;" у.ед. х "&amp;TEXT(ROUND((I184),2),"0 000,00")&amp;" руб. = "&amp;TEXT(ROUND(($G$183*(ROUND((K184/$G$183),2))),2),"0 000,00")&amp;" руб. = "&amp;TEXT(O184,"0 000,00")&amp;" руб."</f>
        <v>46,0 у.ед. х 4 978,12 руб. = 228 993,52 руб. = 229 000,00 руб.</v>
      </c>
    </row>
    <row r="185" spans="1:23" ht="19.5" customHeight="1" x14ac:dyDescent="0.25">
      <c r="A185" s="437"/>
      <c r="B185" s="377"/>
      <c r="C185" s="64"/>
      <c r="D185" s="379"/>
      <c r="E185" s="384"/>
      <c r="F185" s="68" t="str">
        <f>F15</f>
        <v>норматив на 2024 год :</v>
      </c>
      <c r="G185" s="275">
        <f>G184</f>
        <v>46</v>
      </c>
      <c r="H185" s="67" t="s">
        <v>333</v>
      </c>
      <c r="I185" s="275">
        <f>I184*1.0487</f>
        <v>5220.5544439999994</v>
      </c>
      <c r="J185" s="67" t="s">
        <v>41</v>
      </c>
      <c r="K185" s="275">
        <f t="shared" ref="K185:K186" si="92">ROUND((G185*I185),2)</f>
        <v>240145.5</v>
      </c>
      <c r="L185" s="67" t="s">
        <v>41</v>
      </c>
      <c r="M185" s="70">
        <f t="shared" ref="M185:M186" si="93">ROUNDUP((K185),0)</f>
        <v>240146</v>
      </c>
      <c r="N185" s="71" t="s">
        <v>37</v>
      </c>
      <c r="O185" s="70">
        <f t="shared" si="91"/>
        <v>240150</v>
      </c>
      <c r="P185" s="67" t="s">
        <v>332</v>
      </c>
      <c r="Q185" s="72"/>
      <c r="R185" s="72"/>
      <c r="S185" s="65"/>
      <c r="T185" s="485"/>
      <c r="U185" s="485"/>
      <c r="V185" s="485"/>
      <c r="W185" s="274" t="str">
        <f>""&amp;TEXT($G$183,"0,0")&amp;" у.ед. х "&amp;TEXT(ROUND((I185),2),"0 000,00")&amp;" руб. = "&amp;TEXT(ROUND(($G$183*(ROUND((K185/$G$183),2))),2),"0 000,00")&amp;" руб. = "&amp;TEXT(O185,"0 000,00")&amp;" руб."</f>
        <v>46,0 у.ед. х 5 220,55 руб. = 240 145,30 руб. = 240 150,00 руб.</v>
      </c>
    </row>
    <row r="186" spans="1:23" ht="19.5" customHeight="1" x14ac:dyDescent="0.25">
      <c r="A186" s="437"/>
      <c r="B186" s="377"/>
      <c r="C186" s="64"/>
      <c r="D186" s="379"/>
      <c r="E186" s="384"/>
      <c r="F186" s="68" t="str">
        <f>F16</f>
        <v>норматив на 2025 год :</v>
      </c>
      <c r="G186" s="275">
        <f>G185</f>
        <v>46</v>
      </c>
      <c r="H186" s="67" t="s">
        <v>333</v>
      </c>
      <c r="I186" s="275">
        <f>I185*1.0457</f>
        <v>5459.1337820908002</v>
      </c>
      <c r="J186" s="67" t="s">
        <v>41</v>
      </c>
      <c r="K186" s="275">
        <f t="shared" si="92"/>
        <v>251120.15</v>
      </c>
      <c r="L186" s="67" t="s">
        <v>41</v>
      </c>
      <c r="M186" s="70">
        <f t="shared" si="93"/>
        <v>251121</v>
      </c>
      <c r="N186" s="71" t="s">
        <v>37</v>
      </c>
      <c r="O186" s="70">
        <f t="shared" si="91"/>
        <v>251130</v>
      </c>
      <c r="P186" s="67" t="s">
        <v>332</v>
      </c>
      <c r="Q186" s="70"/>
      <c r="R186" s="71"/>
      <c r="S186" s="65"/>
      <c r="T186" s="486"/>
      <c r="U186" s="486"/>
      <c r="V186" s="486"/>
      <c r="W186" s="274" t="str">
        <f>""&amp;TEXT($G$183,"0,0")&amp;" у.ед. х "&amp;TEXT(ROUND((I186),2),"0 000,00")&amp;" руб. = "&amp;TEXT(ROUND(($G$183*(ROUND((K186/$G$183),2))),2),"0 000,00")&amp;" руб. = "&amp;TEXT(O186,"0 000,00")&amp;" руб."</f>
        <v>46,0 у.ед. х 5 459,13 руб. = 251 119,98 руб. = 251 130,00 руб.</v>
      </c>
    </row>
    <row r="187" spans="1:23" ht="121.5" customHeight="1" x14ac:dyDescent="0.25">
      <c r="A187" s="383" t="s">
        <v>21</v>
      </c>
      <c r="B187" s="376" t="s">
        <v>322</v>
      </c>
      <c r="C187" s="64"/>
      <c r="D187" s="378">
        <v>226</v>
      </c>
      <c r="E187" s="378">
        <v>244</v>
      </c>
      <c r="F187" s="380" t="s">
        <v>249</v>
      </c>
      <c r="G187" s="380"/>
      <c r="H187" s="380"/>
      <c r="I187" s="380"/>
      <c r="J187" s="380"/>
      <c r="K187" s="380"/>
      <c r="L187" s="380"/>
      <c r="M187" s="380"/>
      <c r="N187" s="380"/>
      <c r="O187" s="380"/>
      <c r="P187" s="380"/>
      <c r="Q187" s="380"/>
      <c r="R187" s="380"/>
      <c r="S187" s="65"/>
      <c r="T187" s="485">
        <f>O189</f>
        <v>1107100</v>
      </c>
      <c r="U187" s="485">
        <f>O190</f>
        <v>1161010</v>
      </c>
      <c r="V187" s="485">
        <f>O191</f>
        <v>1214070</v>
      </c>
      <c r="W187" s="274" t="s">
        <v>79</v>
      </c>
    </row>
    <row r="188" spans="1:23" ht="16.5" customHeight="1" outlineLevel="1" x14ac:dyDescent="0.25">
      <c r="A188" s="383"/>
      <c r="B188" s="377"/>
      <c r="C188" s="64"/>
      <c r="D188" s="379"/>
      <c r="E188" s="379"/>
      <c r="F188" s="61">
        <v>2022</v>
      </c>
      <c r="G188" s="275">
        <v>30</v>
      </c>
      <c r="H188" s="67" t="s">
        <v>66</v>
      </c>
      <c r="I188" s="275">
        <v>1</v>
      </c>
      <c r="J188" s="67" t="s">
        <v>336</v>
      </c>
      <c r="K188" s="275">
        <v>34100</v>
      </c>
      <c r="L188" s="67" t="s">
        <v>41</v>
      </c>
      <c r="M188" s="275">
        <f>ROUND((G188*I188*K188),2)</f>
        <v>1023000</v>
      </c>
      <c r="N188" s="67" t="s">
        <v>37</v>
      </c>
      <c r="O188" s="70">
        <f t="shared" ref="O188:O191" si="94">ROUNDUP((M188),-1)</f>
        <v>1023000</v>
      </c>
      <c r="P188" s="67"/>
      <c r="Q188" s="61"/>
      <c r="R188" s="65"/>
      <c r="S188" s="65"/>
      <c r="T188" s="485"/>
      <c r="U188" s="485"/>
      <c r="V188" s="485"/>
    </row>
    <row r="189" spans="1:23" ht="18.75" customHeight="1" x14ac:dyDescent="0.25">
      <c r="A189" s="383"/>
      <c r="B189" s="377"/>
      <c r="C189" s="64"/>
      <c r="D189" s="379"/>
      <c r="E189" s="379"/>
      <c r="F189" s="68" t="str">
        <f>F14</f>
        <v>норматив на 2023 год :</v>
      </c>
      <c r="G189" s="275">
        <f>G188</f>
        <v>30</v>
      </c>
      <c r="H189" s="67" t="s">
        <v>334</v>
      </c>
      <c r="I189" s="69">
        <v>1</v>
      </c>
      <c r="J189" s="67" t="s">
        <v>336</v>
      </c>
      <c r="K189" s="275">
        <f>K188*1.0822</f>
        <v>36903.020000000004</v>
      </c>
      <c r="L189" s="67" t="s">
        <v>41</v>
      </c>
      <c r="M189" s="275">
        <f t="shared" ref="M189:M191" si="95">ROUND((G189*I189*K189),2)</f>
        <v>1107090.6000000001</v>
      </c>
      <c r="N189" s="67" t="s">
        <v>37</v>
      </c>
      <c r="O189" s="70">
        <f t="shared" si="94"/>
        <v>1107100</v>
      </c>
      <c r="P189" s="67" t="s">
        <v>332</v>
      </c>
      <c r="Q189" s="72"/>
      <c r="R189" s="72"/>
      <c r="S189" s="65"/>
      <c r="T189" s="486"/>
      <c r="U189" s="486"/>
      <c r="V189" s="486"/>
      <c r="W189" s="274" t="str">
        <f>""&amp;TEXT($G$188,"0,0")&amp;" чел. х "&amp;TEXT($I$188,"0,0")&amp;" раз х "&amp;TEXT(ROUND((M189/$G$188/$I$188),2),"0 000,00")&amp;" руб. = "&amp;TEXT(ROUND((($G$188*$I$188*ROUND((M189/$G$188/$I$188),2))),2),"0 000,00")&amp;" руб. = "&amp;TEXT(O189,"0 000,00")&amp;" руб."</f>
        <v>30,0 чел. х 1,0 раз х 36 903,02 руб. = 1 107 090,60 руб. = 1 107 100,00 руб.</v>
      </c>
    </row>
    <row r="190" spans="1:23" ht="18.75" customHeight="1" x14ac:dyDescent="0.25">
      <c r="A190" s="383"/>
      <c r="B190" s="377"/>
      <c r="C190" s="64"/>
      <c r="D190" s="379"/>
      <c r="E190" s="379"/>
      <c r="F190" s="68" t="str">
        <f>F15</f>
        <v>норматив на 2024 год :</v>
      </c>
      <c r="G190" s="275">
        <f>G189</f>
        <v>30</v>
      </c>
      <c r="H190" s="67" t="str">
        <f>H189</f>
        <v xml:space="preserve">чел. х индекс потребительских цен </v>
      </c>
      <c r="I190" s="69">
        <v>1</v>
      </c>
      <c r="J190" s="67" t="s">
        <v>336</v>
      </c>
      <c r="K190" s="275">
        <f>K189*1.0487</f>
        <v>38700.197074000003</v>
      </c>
      <c r="L190" s="67" t="s">
        <v>41</v>
      </c>
      <c r="M190" s="275">
        <f t="shared" si="95"/>
        <v>1161005.9099999999</v>
      </c>
      <c r="N190" s="67" t="s">
        <v>37</v>
      </c>
      <c r="O190" s="70">
        <f t="shared" si="94"/>
        <v>1161010</v>
      </c>
      <c r="P190" s="67" t="s">
        <v>332</v>
      </c>
      <c r="Q190" s="72"/>
      <c r="R190" s="72"/>
      <c r="S190" s="65"/>
      <c r="T190" s="486"/>
      <c r="U190" s="486"/>
      <c r="V190" s="486"/>
      <c r="W190" s="274" t="str">
        <f>""&amp;TEXT($G$188,"0,0")&amp;" чел. х "&amp;TEXT($I$188,"0,0")&amp;" раз х "&amp;TEXT(ROUND((M190/$G$188/$I$188),2),"0 000,00")&amp;" руб. = "&amp;TEXT(ROUND((($G$188*$I$188*ROUND((M190/$G$188/$I$188),2))),2),"0 000,00")&amp;" руб. = "&amp;TEXT(O190,"0 000,00")&amp;" руб."</f>
        <v>30,0 чел. х 1,0 раз х 38 700,20 руб. = 1 161 006,00 руб. = 1 161 010,00 руб.</v>
      </c>
    </row>
    <row r="191" spans="1:23" ht="18.75" customHeight="1" x14ac:dyDescent="0.25">
      <c r="A191" s="383"/>
      <c r="B191" s="377"/>
      <c r="C191" s="64"/>
      <c r="D191" s="379"/>
      <c r="E191" s="379"/>
      <c r="F191" s="68" t="str">
        <f>F16</f>
        <v>норматив на 2025 год :</v>
      </c>
      <c r="G191" s="275">
        <f>G190</f>
        <v>30</v>
      </c>
      <c r="H191" s="67" t="str">
        <f>H189</f>
        <v xml:space="preserve">чел. х индекс потребительских цен </v>
      </c>
      <c r="I191" s="69">
        <v>1</v>
      </c>
      <c r="J191" s="67" t="s">
        <v>336</v>
      </c>
      <c r="K191" s="275">
        <f>K190*1.0457</f>
        <v>40468.796080281805</v>
      </c>
      <c r="L191" s="67" t="s">
        <v>41</v>
      </c>
      <c r="M191" s="275">
        <f t="shared" si="95"/>
        <v>1214063.8799999999</v>
      </c>
      <c r="N191" s="67" t="s">
        <v>37</v>
      </c>
      <c r="O191" s="70">
        <f t="shared" si="94"/>
        <v>1214070</v>
      </c>
      <c r="P191" s="67" t="s">
        <v>332</v>
      </c>
      <c r="Q191" s="70"/>
      <c r="R191" s="71"/>
      <c r="S191" s="65"/>
      <c r="T191" s="486"/>
      <c r="U191" s="486"/>
      <c r="V191" s="486"/>
      <c r="W191" s="274" t="str">
        <f>""&amp;TEXT($G$188,"0,0")&amp;" чел. х "&amp;TEXT($I$188,"0,0")&amp;" раз х "&amp;TEXT(ROUND((M191/$G$188/$I$188),2),"0 000,00")&amp;" руб. = "&amp;TEXT(ROUND((($G$188*$I$188*ROUND((M191/$G$188/$I$188),2))),2),"0 000,00")&amp;" руб. = "&amp;TEXT(O191,"0 000,00")&amp;" руб."</f>
        <v>30,0 чел. х 1,0 раз х 40 468,80 руб. = 1 214 064,00 руб. = 1 214 070,00 руб.</v>
      </c>
    </row>
    <row r="192" spans="1:23" ht="90" x14ac:dyDescent="0.25">
      <c r="A192" s="383" t="s">
        <v>22</v>
      </c>
      <c r="B192" s="376" t="s">
        <v>96</v>
      </c>
      <c r="C192" s="64"/>
      <c r="D192" s="378">
        <v>226</v>
      </c>
      <c r="E192" s="378">
        <v>244</v>
      </c>
      <c r="F192" s="380" t="s">
        <v>249</v>
      </c>
      <c r="G192" s="380"/>
      <c r="H192" s="380"/>
      <c r="I192" s="380"/>
      <c r="J192" s="380"/>
      <c r="K192" s="380"/>
      <c r="L192" s="380"/>
      <c r="M192" s="380"/>
      <c r="N192" s="380"/>
      <c r="O192" s="380"/>
      <c r="P192" s="380"/>
      <c r="Q192" s="380"/>
      <c r="R192" s="380"/>
      <c r="S192" s="65"/>
      <c r="T192" s="485">
        <f>O194</f>
        <v>4680</v>
      </c>
      <c r="U192" s="485">
        <f>O195</f>
        <v>4910</v>
      </c>
      <c r="V192" s="485">
        <f>O196</f>
        <v>5130</v>
      </c>
      <c r="W192" s="274" t="s">
        <v>174</v>
      </c>
    </row>
    <row r="193" spans="1:23" ht="17.25" customHeight="1" outlineLevel="1" x14ac:dyDescent="0.25">
      <c r="A193" s="383"/>
      <c r="B193" s="377"/>
      <c r="C193" s="64"/>
      <c r="D193" s="379"/>
      <c r="E193" s="379"/>
      <c r="F193" s="61">
        <v>2022</v>
      </c>
      <c r="G193" s="275">
        <v>2</v>
      </c>
      <c r="H193" s="67" t="s">
        <v>80</v>
      </c>
      <c r="I193" s="275">
        <v>2160.92</v>
      </c>
      <c r="J193" s="67" t="s">
        <v>41</v>
      </c>
      <c r="K193" s="275">
        <f>I193*G193</f>
        <v>4321.84</v>
      </c>
      <c r="L193" s="67" t="s">
        <v>37</v>
      </c>
      <c r="M193" s="67"/>
      <c r="N193" s="67"/>
      <c r="O193" s="70">
        <f t="shared" ref="O193:O196" si="96">ROUNDUP((M193),-1)</f>
        <v>0</v>
      </c>
      <c r="P193" s="67"/>
      <c r="Q193" s="67"/>
      <c r="R193" s="65"/>
      <c r="S193" s="65"/>
      <c r="T193" s="485"/>
      <c r="U193" s="485"/>
      <c r="V193" s="485"/>
      <c r="W193" s="274"/>
    </row>
    <row r="194" spans="1:23" ht="19.5" customHeight="1" x14ac:dyDescent="0.25">
      <c r="A194" s="383"/>
      <c r="B194" s="377"/>
      <c r="C194" s="64"/>
      <c r="D194" s="379"/>
      <c r="E194" s="379"/>
      <c r="F194" s="68" t="str">
        <f>F14</f>
        <v>норматив на 2023 год :</v>
      </c>
      <c r="G194" s="275">
        <v>2</v>
      </c>
      <c r="H194" s="67" t="s">
        <v>80</v>
      </c>
      <c r="I194" s="275">
        <f>I193*1.0822</f>
        <v>2338.5476240000003</v>
      </c>
      <c r="J194" s="67" t="s">
        <v>41</v>
      </c>
      <c r="K194" s="275">
        <f t="shared" ref="K194:K196" si="97">I194*G194</f>
        <v>4677.0952480000005</v>
      </c>
      <c r="L194" s="67" t="s">
        <v>41</v>
      </c>
      <c r="M194" s="70">
        <f>ROUNDUP((K194),0)</f>
        <v>4678</v>
      </c>
      <c r="N194" s="71" t="s">
        <v>37</v>
      </c>
      <c r="O194" s="70">
        <f t="shared" si="96"/>
        <v>4680</v>
      </c>
      <c r="P194" s="71" t="s">
        <v>37</v>
      </c>
      <c r="Q194" s="70"/>
      <c r="R194" s="72"/>
      <c r="S194" s="65"/>
      <c r="T194" s="486"/>
      <c r="U194" s="486"/>
      <c r="V194" s="486"/>
      <c r="W194" s="274" t="str">
        <f>""&amp;TEXT($G$193,"0,0")&amp;" ед. х "&amp;TEXT(ROUND((I194),2),"0 000,00")&amp;" руб. = "&amp;TEXT(ROUND(((ROUND((M194),2))),2),"0 000,00")&amp;" руб. = "&amp;TEXT(O194,"0 000,00")&amp;" руб."</f>
        <v>2,0 ед. х 2 338,55 руб. = 4 678,00 руб. = 4 680,00 руб.</v>
      </c>
    </row>
    <row r="195" spans="1:23" ht="19.5" customHeight="1" x14ac:dyDescent="0.25">
      <c r="A195" s="383"/>
      <c r="B195" s="377"/>
      <c r="C195" s="64"/>
      <c r="D195" s="379"/>
      <c r="E195" s="379"/>
      <c r="F195" s="68" t="str">
        <f>F15</f>
        <v>норматив на 2024 год :</v>
      </c>
      <c r="G195" s="275">
        <v>2</v>
      </c>
      <c r="H195" s="67" t="s">
        <v>80</v>
      </c>
      <c r="I195" s="275">
        <f>I194*1.0487</f>
        <v>2452.4348932888001</v>
      </c>
      <c r="J195" s="67" t="s">
        <v>41</v>
      </c>
      <c r="K195" s="275">
        <f t="shared" si="97"/>
        <v>4904.8697865776003</v>
      </c>
      <c r="L195" s="67" t="s">
        <v>41</v>
      </c>
      <c r="M195" s="70">
        <f t="shared" ref="M195:M196" si="98">ROUNDUP((K195),0)</f>
        <v>4905</v>
      </c>
      <c r="N195" s="71" t="s">
        <v>37</v>
      </c>
      <c r="O195" s="70">
        <f t="shared" si="96"/>
        <v>4910</v>
      </c>
      <c r="P195" s="71" t="s">
        <v>37</v>
      </c>
      <c r="Q195" s="70"/>
      <c r="R195" s="72"/>
      <c r="S195" s="65"/>
      <c r="T195" s="486"/>
      <c r="U195" s="486"/>
      <c r="V195" s="486"/>
      <c r="W195" s="274" t="str">
        <f t="shared" ref="W195:W196" si="99">""&amp;TEXT($G$193,"0,0")&amp;" ед. х "&amp;TEXT(ROUND((I195),2),"0 000,00")&amp;" руб. = "&amp;TEXT(ROUND(((ROUND((M195),2))),2),"0 000,00")&amp;" руб. = "&amp;TEXT(O195,"0 000,00")&amp;" руб."</f>
        <v>2,0 ед. х 2 452,43 руб. = 4 905,00 руб. = 4 910,00 руб.</v>
      </c>
    </row>
    <row r="196" spans="1:23" ht="19.5" customHeight="1" x14ac:dyDescent="0.25">
      <c r="A196" s="383"/>
      <c r="B196" s="377"/>
      <c r="C196" s="64"/>
      <c r="D196" s="379"/>
      <c r="E196" s="379"/>
      <c r="F196" s="68" t="str">
        <f>F16</f>
        <v>норматив на 2025 год :</v>
      </c>
      <c r="G196" s="275">
        <v>2</v>
      </c>
      <c r="H196" s="67" t="s">
        <v>80</v>
      </c>
      <c r="I196" s="275">
        <f>I195*1.0457</f>
        <v>2564.5111679120987</v>
      </c>
      <c r="J196" s="67" t="s">
        <v>41</v>
      </c>
      <c r="K196" s="275">
        <f t="shared" si="97"/>
        <v>5129.0223358241974</v>
      </c>
      <c r="L196" s="67" t="s">
        <v>41</v>
      </c>
      <c r="M196" s="70">
        <f t="shared" si="98"/>
        <v>5130</v>
      </c>
      <c r="N196" s="71" t="s">
        <v>37</v>
      </c>
      <c r="O196" s="70">
        <f t="shared" si="96"/>
        <v>5130</v>
      </c>
      <c r="P196" s="71" t="s">
        <v>37</v>
      </c>
      <c r="Q196" s="70"/>
      <c r="R196" s="71"/>
      <c r="S196" s="65"/>
      <c r="T196" s="486"/>
      <c r="U196" s="486"/>
      <c r="V196" s="486"/>
      <c r="W196" s="274" t="str">
        <f t="shared" si="99"/>
        <v>2,0 ед. х 2 564,51 руб. = 5 130,00 руб. = 5 130,00 руб.</v>
      </c>
    </row>
    <row r="197" spans="1:23" ht="90" x14ac:dyDescent="0.25">
      <c r="A197" s="488" t="s">
        <v>190</v>
      </c>
      <c r="B197" s="491" t="s">
        <v>191</v>
      </c>
      <c r="C197" s="64"/>
      <c r="D197" s="394">
        <v>226</v>
      </c>
      <c r="E197" s="394">
        <v>244</v>
      </c>
      <c r="F197" s="380" t="s">
        <v>358</v>
      </c>
      <c r="G197" s="380"/>
      <c r="H197" s="380"/>
      <c r="I197" s="380"/>
      <c r="J197" s="380"/>
      <c r="K197" s="380"/>
      <c r="L197" s="380"/>
      <c r="M197" s="380"/>
      <c r="N197" s="380"/>
      <c r="O197" s="380"/>
      <c r="P197" s="380"/>
      <c r="Q197" s="380"/>
      <c r="R197" s="380"/>
      <c r="S197" s="65"/>
      <c r="T197" s="482">
        <f>O199</f>
        <v>2340000</v>
      </c>
      <c r="U197" s="482">
        <f>O200</f>
        <v>2453960</v>
      </c>
      <c r="V197" s="482">
        <f>O201</f>
        <v>2566110</v>
      </c>
      <c r="W197" s="274" t="s">
        <v>337</v>
      </c>
    </row>
    <row r="198" spans="1:23" ht="21" customHeight="1" x14ac:dyDescent="0.25">
      <c r="A198" s="489"/>
      <c r="B198" s="492"/>
      <c r="C198" s="64"/>
      <c r="D198" s="395"/>
      <c r="E198" s="395"/>
      <c r="F198" s="61"/>
      <c r="G198" s="275">
        <v>3000</v>
      </c>
      <c r="H198" s="67" t="s">
        <v>195</v>
      </c>
      <c r="I198" s="275"/>
      <c r="J198" s="67" t="s">
        <v>41</v>
      </c>
      <c r="K198" s="69"/>
      <c r="L198" s="67" t="s">
        <v>37</v>
      </c>
      <c r="M198" s="275"/>
      <c r="N198" s="67"/>
      <c r="O198" s="70">
        <f t="shared" ref="O198:O201" si="100">ROUNDUP((M198),-1)</f>
        <v>0</v>
      </c>
      <c r="P198" s="71"/>
      <c r="Q198" s="72"/>
      <c r="R198" s="72"/>
      <c r="S198" s="65"/>
      <c r="T198" s="483"/>
      <c r="U198" s="483"/>
      <c r="V198" s="483"/>
      <c r="W198" s="274"/>
    </row>
    <row r="199" spans="1:23" ht="23.25" customHeight="1" x14ac:dyDescent="0.25">
      <c r="A199" s="489"/>
      <c r="B199" s="492"/>
      <c r="C199" s="64"/>
      <c r="D199" s="395"/>
      <c r="E199" s="395"/>
      <c r="F199" s="68" t="str">
        <f>F14</f>
        <v>норматив на 2023 год :</v>
      </c>
      <c r="G199" s="275">
        <v>3000</v>
      </c>
      <c r="H199" s="67" t="s">
        <v>195</v>
      </c>
      <c r="I199" s="275">
        <v>780</v>
      </c>
      <c r="J199" s="67" t="s">
        <v>41</v>
      </c>
      <c r="K199" s="275">
        <f t="shared" ref="K199:K201" si="101">I199*G199</f>
        <v>2340000</v>
      </c>
      <c r="L199" s="67" t="s">
        <v>37</v>
      </c>
      <c r="M199" s="70">
        <f>ROUNDUP((K199),0)</f>
        <v>2340000</v>
      </c>
      <c r="N199" s="71" t="s">
        <v>37</v>
      </c>
      <c r="O199" s="70">
        <f t="shared" si="100"/>
        <v>2340000</v>
      </c>
      <c r="P199" s="71" t="s">
        <v>37</v>
      </c>
      <c r="Q199" s="70"/>
      <c r="R199" s="72"/>
      <c r="S199" s="65"/>
      <c r="T199" s="483"/>
      <c r="U199" s="483"/>
      <c r="V199" s="483"/>
      <c r="W199" s="274" t="str">
        <f>""&amp;TEXT($G$200,"0,0")&amp;" ед. х "&amp;TEXT(ROUND((I199),2)," 000,00")&amp;" руб. = "&amp;TEXT(ROUND(((ROUND((G199*I199),2))),2),"0 000,00")&amp;" руб. = "&amp;TEXT(O199,"0 000,00")&amp;" руб."</f>
        <v>3000,0 ед. х  780,00 руб. = 2 340 000,00 руб. = 2 340 000,00 руб.</v>
      </c>
    </row>
    <row r="200" spans="1:23" ht="21" customHeight="1" x14ac:dyDescent="0.25">
      <c r="A200" s="489"/>
      <c r="B200" s="492"/>
      <c r="C200" s="64"/>
      <c r="D200" s="395"/>
      <c r="E200" s="395"/>
      <c r="F200" s="68" t="str">
        <f>F15</f>
        <v>норматив на 2024 год :</v>
      </c>
      <c r="G200" s="275">
        <v>3000</v>
      </c>
      <c r="H200" s="67" t="s">
        <v>195</v>
      </c>
      <c r="I200" s="275">
        <f>I199*1.0487</f>
        <v>817.98599999999999</v>
      </c>
      <c r="J200" s="67" t="s">
        <v>41</v>
      </c>
      <c r="K200" s="275">
        <f t="shared" si="101"/>
        <v>2453958</v>
      </c>
      <c r="L200" s="67" t="s">
        <v>37</v>
      </c>
      <c r="M200" s="70">
        <f t="shared" ref="M200:M201" si="102">ROUNDUP((K200),0)</f>
        <v>2453958</v>
      </c>
      <c r="N200" s="71" t="s">
        <v>37</v>
      </c>
      <c r="O200" s="70">
        <f t="shared" si="100"/>
        <v>2453960</v>
      </c>
      <c r="P200" s="71" t="s">
        <v>37</v>
      </c>
      <c r="Q200" s="70"/>
      <c r="R200" s="72"/>
      <c r="S200" s="65"/>
      <c r="T200" s="483"/>
      <c r="U200" s="483"/>
      <c r="V200" s="483"/>
      <c r="W200" s="274" t="str">
        <f t="shared" ref="W200:W201" si="103">""&amp;TEXT($G$200,"0,0")&amp;" ед. х "&amp;TEXT(ROUND((I200),2)," 000,00")&amp;" руб. = "&amp;TEXT(ROUND(((ROUND((G200*I200),2))),2),"0 000,00")&amp;" руб. = "&amp;TEXT(O200,"0 000,00")&amp;" руб."</f>
        <v>3000,0 ед. х  817,99 руб. = 2 453 958,00 руб. = 2 453 960,00 руб.</v>
      </c>
    </row>
    <row r="201" spans="1:23" ht="21" customHeight="1" x14ac:dyDescent="0.25">
      <c r="A201" s="490"/>
      <c r="B201" s="493"/>
      <c r="C201" s="64"/>
      <c r="D201" s="396"/>
      <c r="E201" s="396"/>
      <c r="F201" s="68" t="str">
        <f>F16</f>
        <v>норматив на 2025 год :</v>
      </c>
      <c r="G201" s="275">
        <v>3000</v>
      </c>
      <c r="H201" s="67" t="s">
        <v>195</v>
      </c>
      <c r="I201" s="275">
        <f>I200*1.0457</f>
        <v>855.36796020000008</v>
      </c>
      <c r="J201" s="67" t="s">
        <v>41</v>
      </c>
      <c r="K201" s="275">
        <f t="shared" si="101"/>
        <v>2566103.8806000003</v>
      </c>
      <c r="L201" s="67" t="s">
        <v>37</v>
      </c>
      <c r="M201" s="70">
        <f t="shared" si="102"/>
        <v>2566104</v>
      </c>
      <c r="N201" s="71" t="s">
        <v>37</v>
      </c>
      <c r="O201" s="70">
        <f t="shared" si="100"/>
        <v>2566110</v>
      </c>
      <c r="P201" s="71" t="s">
        <v>37</v>
      </c>
      <c r="Q201" s="70"/>
      <c r="R201" s="71"/>
      <c r="S201" s="65"/>
      <c r="T201" s="484"/>
      <c r="U201" s="484"/>
      <c r="V201" s="484"/>
      <c r="W201" s="274" t="str">
        <f t="shared" si="103"/>
        <v>3000,0 ед. х  855,37 руб. = 2 566 103,88 руб. = 2 566 110,00 руб.</v>
      </c>
    </row>
    <row r="202" spans="1:23" ht="93.75" customHeight="1" x14ac:dyDescent="0.25">
      <c r="A202" s="388" t="s">
        <v>327</v>
      </c>
      <c r="B202" s="391" t="s">
        <v>328</v>
      </c>
      <c r="C202" s="64"/>
      <c r="D202" s="394">
        <v>226</v>
      </c>
      <c r="E202" s="394">
        <v>244</v>
      </c>
      <c r="F202" s="380" t="s">
        <v>249</v>
      </c>
      <c r="G202" s="380"/>
      <c r="H202" s="380"/>
      <c r="I202" s="380"/>
      <c r="J202" s="380"/>
      <c r="K202" s="380"/>
      <c r="L202" s="380"/>
      <c r="M202" s="380"/>
      <c r="N202" s="380"/>
      <c r="O202" s="380"/>
      <c r="P202" s="380"/>
      <c r="Q202" s="380"/>
      <c r="R202" s="380"/>
      <c r="S202" s="65"/>
      <c r="T202" s="482">
        <f>O204</f>
        <v>73770</v>
      </c>
      <c r="U202" s="482">
        <f>O205</f>
        <v>77370</v>
      </c>
      <c r="V202" s="482">
        <f>O206</f>
        <v>80900</v>
      </c>
      <c r="W202" s="279" t="s">
        <v>329</v>
      </c>
    </row>
    <row r="203" spans="1:23" ht="21" customHeight="1" x14ac:dyDescent="0.25">
      <c r="A203" s="389"/>
      <c r="B203" s="392"/>
      <c r="C203" s="64"/>
      <c r="D203" s="395"/>
      <c r="E203" s="395"/>
      <c r="F203" s="61">
        <v>2022</v>
      </c>
      <c r="G203" s="280">
        <v>1</v>
      </c>
      <c r="H203" s="67" t="s">
        <v>231</v>
      </c>
      <c r="I203" s="280">
        <f>ROUNDUP((68166.67/G203),2)</f>
        <v>68166.67</v>
      </c>
      <c r="J203" s="67" t="s">
        <v>41</v>
      </c>
      <c r="K203" s="280">
        <f t="shared" ref="K203:K206" si="104">I203*G203</f>
        <v>68166.67</v>
      </c>
      <c r="L203" s="67" t="s">
        <v>37</v>
      </c>
      <c r="M203" s="67"/>
      <c r="N203" s="67"/>
      <c r="O203" s="70">
        <f t="shared" ref="O203:O206" si="105">ROUNDUP((M203),-1)</f>
        <v>0</v>
      </c>
      <c r="P203" s="67"/>
      <c r="Q203" s="67"/>
      <c r="R203" s="65"/>
      <c r="S203" s="65"/>
      <c r="T203" s="483"/>
      <c r="U203" s="483"/>
      <c r="V203" s="483"/>
      <c r="W203" s="279"/>
    </row>
    <row r="204" spans="1:23" ht="21" customHeight="1" x14ac:dyDescent="0.25">
      <c r="A204" s="389"/>
      <c r="B204" s="392"/>
      <c r="C204" s="64"/>
      <c r="D204" s="395"/>
      <c r="E204" s="395"/>
      <c r="F204" s="68" t="s">
        <v>193</v>
      </c>
      <c r="G204" s="280">
        <v>1</v>
      </c>
      <c r="H204" s="65" t="s">
        <v>271</v>
      </c>
      <c r="I204" s="280">
        <f>I203*1.0822</f>
        <v>73769.970274000007</v>
      </c>
      <c r="J204" s="67" t="s">
        <v>41</v>
      </c>
      <c r="K204" s="280">
        <f t="shared" si="104"/>
        <v>73769.970274000007</v>
      </c>
      <c r="L204" s="67" t="s">
        <v>41</v>
      </c>
      <c r="M204" s="70">
        <f>ROUNDUP((K204),0)</f>
        <v>73770</v>
      </c>
      <c r="N204" s="71" t="s">
        <v>37</v>
      </c>
      <c r="O204" s="70">
        <f t="shared" si="105"/>
        <v>73770</v>
      </c>
      <c r="P204" s="67" t="s">
        <v>332</v>
      </c>
      <c r="Q204" s="72"/>
      <c r="R204" s="72"/>
      <c r="S204" s="65"/>
      <c r="T204" s="483"/>
      <c r="U204" s="483"/>
      <c r="V204" s="483"/>
      <c r="W204" s="279" t="str">
        <f>""&amp;TEXT(G204,"0,0")&amp;" ед. х "&amp;TEXT(ROUND((K204/G204),2),"0,00")&amp;" руб. = "&amp;TEXT(ROUND((G204*(ROUND((K204/G204),2))),2),"0 000,00")&amp;" руб. = "&amp;TEXT(O204,"0 000,00")&amp;" руб."</f>
        <v>1,0 ед. х 73769,97 руб. = 73 769,97 руб. = 73 770,00 руб.</v>
      </c>
    </row>
    <row r="205" spans="1:23" ht="21" customHeight="1" x14ac:dyDescent="0.25">
      <c r="A205" s="389"/>
      <c r="B205" s="392"/>
      <c r="C205" s="64"/>
      <c r="D205" s="395"/>
      <c r="E205" s="395"/>
      <c r="F205" s="68" t="s">
        <v>226</v>
      </c>
      <c r="G205" s="280">
        <v>1</v>
      </c>
      <c r="H205" s="67" t="str">
        <f>H204</f>
        <v>ед. х средняя цена с индексом потребительских цен</v>
      </c>
      <c r="I205" s="280">
        <f>I204*1.0487</f>
        <v>77362.567826343802</v>
      </c>
      <c r="J205" s="67" t="s">
        <v>41</v>
      </c>
      <c r="K205" s="280">
        <f t="shared" si="104"/>
        <v>77362.567826343802</v>
      </c>
      <c r="L205" s="67" t="s">
        <v>41</v>
      </c>
      <c r="M205" s="70">
        <f t="shared" ref="M205:M206" si="106">ROUNDUP((K205),0)</f>
        <v>77363</v>
      </c>
      <c r="N205" s="71" t="s">
        <v>37</v>
      </c>
      <c r="O205" s="70">
        <f t="shared" si="105"/>
        <v>77370</v>
      </c>
      <c r="P205" s="67" t="s">
        <v>332</v>
      </c>
      <c r="Q205" s="72"/>
      <c r="R205" s="72"/>
      <c r="S205" s="65"/>
      <c r="T205" s="483"/>
      <c r="U205" s="483"/>
      <c r="V205" s="483"/>
      <c r="W205" s="279" t="str">
        <f>""&amp;TEXT(G205,"0,0")&amp;" ед. х "&amp;TEXT(ROUND((K205/G205),2),"0,00")&amp;" руб. = "&amp;TEXT(ROUND((G205*(ROUND((K205/G205),2))),2),"0 000,00")&amp;" руб. = "&amp;TEXT(O205,"0 000,00")&amp;" руб."</f>
        <v>1,0 ед. х 77362,57 руб. = 77 362,57 руб. = 77 370,00 руб.</v>
      </c>
    </row>
    <row r="206" spans="1:23" ht="21" customHeight="1" x14ac:dyDescent="0.25">
      <c r="A206" s="390"/>
      <c r="B206" s="393"/>
      <c r="C206" s="64"/>
      <c r="D206" s="396"/>
      <c r="E206" s="396"/>
      <c r="F206" s="68" t="s">
        <v>240</v>
      </c>
      <c r="G206" s="280">
        <v>1</v>
      </c>
      <c r="H206" s="67" t="str">
        <f>H204</f>
        <v>ед. х средняя цена с индексом потребительских цен</v>
      </c>
      <c r="I206" s="280">
        <f>I205*1.0457</f>
        <v>80898.037176007725</v>
      </c>
      <c r="J206" s="67" t="s">
        <v>41</v>
      </c>
      <c r="K206" s="280">
        <f t="shared" si="104"/>
        <v>80898.037176007725</v>
      </c>
      <c r="L206" s="67" t="s">
        <v>41</v>
      </c>
      <c r="M206" s="70">
        <f t="shared" si="106"/>
        <v>80899</v>
      </c>
      <c r="N206" s="71" t="s">
        <v>37</v>
      </c>
      <c r="O206" s="70">
        <f t="shared" si="105"/>
        <v>80900</v>
      </c>
      <c r="P206" s="67" t="s">
        <v>332</v>
      </c>
      <c r="Q206" s="72"/>
      <c r="R206" s="72"/>
      <c r="S206" s="65"/>
      <c r="T206" s="484"/>
      <c r="U206" s="484"/>
      <c r="V206" s="484"/>
      <c r="W206" s="279" t="str">
        <f>""&amp;TEXT(G206,"0,0")&amp;" ед. х "&amp;TEXT(ROUND((K206/G206),2),"0,00")&amp;" руб. = "&amp;TEXT(ROUND((G206*(ROUND((K206/G206),2))),2),"0 000,00")&amp;" руб. = "&amp;TEXT(O206,"0 000,00")&amp;" руб."</f>
        <v>1,0 ед. х 80898,04 руб. = 80 898,04 руб. = 80 900,00 руб.</v>
      </c>
    </row>
    <row r="207" spans="1:23" s="239" customFormat="1" ht="93.75" customHeight="1" x14ac:dyDescent="0.25">
      <c r="A207" s="488" t="s">
        <v>356</v>
      </c>
      <c r="B207" s="491" t="s">
        <v>357</v>
      </c>
      <c r="C207" s="291"/>
      <c r="D207" s="494">
        <v>226</v>
      </c>
      <c r="E207" s="494">
        <v>244</v>
      </c>
      <c r="F207" s="497" t="s">
        <v>358</v>
      </c>
      <c r="G207" s="497"/>
      <c r="H207" s="497"/>
      <c r="I207" s="497"/>
      <c r="J207" s="497"/>
      <c r="K207" s="497"/>
      <c r="L207" s="497"/>
      <c r="M207" s="497"/>
      <c r="N207" s="497"/>
      <c r="O207" s="497"/>
      <c r="P207" s="497"/>
      <c r="Q207" s="497"/>
      <c r="R207" s="497"/>
      <c r="S207" s="293"/>
      <c r="T207" s="498">
        <f>O209</f>
        <v>127800</v>
      </c>
      <c r="U207" s="498">
        <f>O210</f>
        <v>134030</v>
      </c>
      <c r="V207" s="498">
        <f>O211</f>
        <v>140150</v>
      </c>
      <c r="W207" s="287" t="s">
        <v>368</v>
      </c>
    </row>
    <row r="208" spans="1:23" s="239" customFormat="1" ht="21" customHeight="1" x14ac:dyDescent="0.25">
      <c r="A208" s="489"/>
      <c r="B208" s="492"/>
      <c r="C208" s="291"/>
      <c r="D208" s="495"/>
      <c r="E208" s="495"/>
      <c r="F208" s="294">
        <v>2023</v>
      </c>
      <c r="G208" s="295">
        <v>213</v>
      </c>
      <c r="H208" s="296" t="s">
        <v>231</v>
      </c>
      <c r="I208" s="295"/>
      <c r="J208" s="296" t="s">
        <v>41</v>
      </c>
      <c r="K208" s="295">
        <f t="shared" ref="K208:K211" si="107">I208*G208</f>
        <v>0</v>
      </c>
      <c r="L208" s="296" t="s">
        <v>37</v>
      </c>
      <c r="M208" s="296"/>
      <c r="N208" s="296"/>
      <c r="O208" s="297">
        <f t="shared" ref="O208:O211" si="108">ROUNDUP((M208),-1)</f>
        <v>0</v>
      </c>
      <c r="P208" s="296"/>
      <c r="Q208" s="296"/>
      <c r="R208" s="293"/>
      <c r="S208" s="293"/>
      <c r="T208" s="499"/>
      <c r="U208" s="499"/>
      <c r="V208" s="499"/>
      <c r="W208" s="287"/>
    </row>
    <row r="209" spans="1:23" s="239" customFormat="1" ht="21" customHeight="1" x14ac:dyDescent="0.25">
      <c r="A209" s="489"/>
      <c r="B209" s="492"/>
      <c r="C209" s="291"/>
      <c r="D209" s="495"/>
      <c r="E209" s="495"/>
      <c r="F209" s="298">
        <f>F9</f>
        <v>0</v>
      </c>
      <c r="G209" s="295">
        <f>G208</f>
        <v>213</v>
      </c>
      <c r="H209" s="293" t="s">
        <v>271</v>
      </c>
      <c r="I209" s="295">
        <v>600</v>
      </c>
      <c r="J209" s="296" t="s">
        <v>41</v>
      </c>
      <c r="K209" s="295">
        <f t="shared" si="107"/>
        <v>127800</v>
      </c>
      <c r="L209" s="296" t="s">
        <v>41</v>
      </c>
      <c r="M209" s="297">
        <f>ROUNDUP((K209),0)</f>
        <v>127800</v>
      </c>
      <c r="N209" s="299" t="s">
        <v>37</v>
      </c>
      <c r="O209" s="297">
        <f t="shared" si="108"/>
        <v>127800</v>
      </c>
      <c r="P209" s="296" t="s">
        <v>332</v>
      </c>
      <c r="Q209" s="300"/>
      <c r="R209" s="300"/>
      <c r="S209" s="293"/>
      <c r="T209" s="499"/>
      <c r="U209" s="499"/>
      <c r="V209" s="499"/>
      <c r="W209" s="287" t="str">
        <f>""&amp;TEXT(G209,"0,0")&amp;" ед. х "&amp;TEXT(ROUND((K209/G209),2),"0,00")&amp;" руб. = "&amp;TEXT(ROUND((G209*(ROUND((K209/G209),2))),2),"0 000,00")&amp;" руб. = "&amp;TEXT(O209,"0 000,00")&amp;" руб."</f>
        <v>213,0 ед. х 600,00 руб. = 127 800,00 руб. = 127 800,00 руб.</v>
      </c>
    </row>
    <row r="210" spans="1:23" s="239" customFormat="1" ht="21" customHeight="1" x14ac:dyDescent="0.25">
      <c r="A210" s="489"/>
      <c r="B210" s="492"/>
      <c r="C210" s="291"/>
      <c r="D210" s="495"/>
      <c r="E210" s="495"/>
      <c r="F210" s="298">
        <f>F10</f>
        <v>0</v>
      </c>
      <c r="G210" s="295">
        <f>G208</f>
        <v>213</v>
      </c>
      <c r="H210" s="296" t="str">
        <f>H209</f>
        <v>ед. х средняя цена с индексом потребительских цен</v>
      </c>
      <c r="I210" s="295">
        <f>I209*1.0487</f>
        <v>629.22</v>
      </c>
      <c r="J210" s="296" t="s">
        <v>41</v>
      </c>
      <c r="K210" s="295">
        <f t="shared" si="107"/>
        <v>134023.86000000002</v>
      </c>
      <c r="L210" s="296" t="s">
        <v>41</v>
      </c>
      <c r="M210" s="297">
        <f t="shared" ref="M210:M211" si="109">ROUNDUP((K210),0)</f>
        <v>134024</v>
      </c>
      <c r="N210" s="299" t="s">
        <v>37</v>
      </c>
      <c r="O210" s="297">
        <f t="shared" si="108"/>
        <v>134030</v>
      </c>
      <c r="P210" s="296" t="s">
        <v>332</v>
      </c>
      <c r="Q210" s="300"/>
      <c r="R210" s="300"/>
      <c r="S210" s="293"/>
      <c r="T210" s="499"/>
      <c r="U210" s="499"/>
      <c r="V210" s="499"/>
      <c r="W210" s="287" t="str">
        <f>""&amp;TEXT(G210,"0,0")&amp;" ед. х "&amp;TEXT(ROUND((K210/G210),2),"0,00")&amp;" руб. = "&amp;TEXT(ROUND((G210*(ROUND((K210/G210),2))),2),"0 000,00")&amp;" руб. = "&amp;TEXT(O210,"0 000,00")&amp;" руб."</f>
        <v>213,0 ед. х 629,22 руб. = 134 023,86 руб. = 134 030,00 руб.</v>
      </c>
    </row>
    <row r="211" spans="1:23" s="239" customFormat="1" ht="21" customHeight="1" x14ac:dyDescent="0.25">
      <c r="A211" s="490"/>
      <c r="B211" s="493"/>
      <c r="C211" s="291"/>
      <c r="D211" s="496"/>
      <c r="E211" s="496"/>
      <c r="F211" s="298">
        <f>F11</f>
        <v>0</v>
      </c>
      <c r="G211" s="295">
        <f>G208</f>
        <v>213</v>
      </c>
      <c r="H211" s="296" t="str">
        <f>H209</f>
        <v>ед. х средняя цена с индексом потребительских цен</v>
      </c>
      <c r="I211" s="295">
        <f>I210*1.0457</f>
        <v>657.97535400000004</v>
      </c>
      <c r="J211" s="296" t="s">
        <v>41</v>
      </c>
      <c r="K211" s="295">
        <f t="shared" si="107"/>
        <v>140148.75040200001</v>
      </c>
      <c r="L211" s="296" t="s">
        <v>41</v>
      </c>
      <c r="M211" s="297">
        <f t="shared" si="109"/>
        <v>140149</v>
      </c>
      <c r="N211" s="299" t="s">
        <v>37</v>
      </c>
      <c r="O211" s="297">
        <f t="shared" si="108"/>
        <v>140150</v>
      </c>
      <c r="P211" s="296" t="s">
        <v>332</v>
      </c>
      <c r="Q211" s="300"/>
      <c r="R211" s="300"/>
      <c r="S211" s="293"/>
      <c r="T211" s="500"/>
      <c r="U211" s="500"/>
      <c r="V211" s="500"/>
      <c r="W211" s="287" t="str">
        <f>""&amp;TEXT(G211,"0,0")&amp;" ед. х "&amp;TEXT(ROUND((K211/G211),2),"0,00")&amp;" руб. = "&amp;TEXT(ROUND((G211*(ROUND((K211/G211),2))),2),"0 000,00")&amp;" руб. = "&amp;TEXT(O211,"0 000,00")&amp;" руб."</f>
        <v>213,0 ед. х 657,98 руб. = 140 149,74 руб. = 140 150,00 руб.</v>
      </c>
    </row>
    <row r="212" spans="1:23" s="239" customFormat="1" ht="93.75" customHeight="1" x14ac:dyDescent="0.25">
      <c r="A212" s="488" t="s">
        <v>366</v>
      </c>
      <c r="B212" s="491" t="s">
        <v>367</v>
      </c>
      <c r="C212" s="291"/>
      <c r="D212" s="494">
        <v>226</v>
      </c>
      <c r="E212" s="494">
        <v>244</v>
      </c>
      <c r="F212" s="497" t="s">
        <v>358</v>
      </c>
      <c r="G212" s="497"/>
      <c r="H212" s="497"/>
      <c r="I212" s="497"/>
      <c r="J212" s="497"/>
      <c r="K212" s="497"/>
      <c r="L212" s="497"/>
      <c r="M212" s="497"/>
      <c r="N212" s="497"/>
      <c r="O212" s="497"/>
      <c r="P212" s="497"/>
      <c r="Q212" s="497"/>
      <c r="R212" s="497"/>
      <c r="S212" s="293"/>
      <c r="T212" s="498">
        <f>O214</f>
        <v>142010</v>
      </c>
      <c r="U212" s="498">
        <f>O215</f>
        <v>148920</v>
      </c>
      <c r="V212" s="498">
        <f>O216</f>
        <v>155730</v>
      </c>
      <c r="W212" s="287" t="s">
        <v>369</v>
      </c>
    </row>
    <row r="213" spans="1:23" s="239" customFormat="1" ht="21" customHeight="1" x14ac:dyDescent="0.25">
      <c r="A213" s="489"/>
      <c r="B213" s="492"/>
      <c r="C213" s="291"/>
      <c r="D213" s="495"/>
      <c r="E213" s="495"/>
      <c r="F213" s="294">
        <v>2023</v>
      </c>
      <c r="G213" s="295">
        <v>213</v>
      </c>
      <c r="H213" s="296" t="s">
        <v>231</v>
      </c>
      <c r="I213" s="295"/>
      <c r="J213" s="296" t="s">
        <v>41</v>
      </c>
      <c r="K213" s="295">
        <f t="shared" ref="K213:K216" si="110">I213*G213</f>
        <v>0</v>
      </c>
      <c r="L213" s="296" t="s">
        <v>37</v>
      </c>
      <c r="M213" s="296"/>
      <c r="N213" s="296"/>
      <c r="O213" s="297">
        <f t="shared" ref="O213:O216" si="111">ROUNDUP((M213),-1)</f>
        <v>0</v>
      </c>
      <c r="P213" s="296"/>
      <c r="Q213" s="296"/>
      <c r="R213" s="293"/>
      <c r="S213" s="293"/>
      <c r="T213" s="499"/>
      <c r="U213" s="499"/>
      <c r="V213" s="499"/>
      <c r="W213" s="287"/>
    </row>
    <row r="214" spans="1:23" s="239" customFormat="1" ht="21" customHeight="1" x14ac:dyDescent="0.25">
      <c r="A214" s="489"/>
      <c r="B214" s="492"/>
      <c r="C214" s="291"/>
      <c r="D214" s="495"/>
      <c r="E214" s="495"/>
      <c r="F214" s="298" t="str">
        <f>F14</f>
        <v>норматив на 2023 год :</v>
      </c>
      <c r="G214" s="295">
        <f>G213</f>
        <v>213</v>
      </c>
      <c r="H214" s="293" t="s">
        <v>271</v>
      </c>
      <c r="I214" s="295">
        <v>666.67</v>
      </c>
      <c r="J214" s="296" t="s">
        <v>41</v>
      </c>
      <c r="K214" s="295">
        <f t="shared" si="110"/>
        <v>142000.71</v>
      </c>
      <c r="L214" s="296" t="s">
        <v>41</v>
      </c>
      <c r="M214" s="297">
        <f>ROUNDUP((K214),0)</f>
        <v>142001</v>
      </c>
      <c r="N214" s="299" t="s">
        <v>37</v>
      </c>
      <c r="O214" s="297">
        <f t="shared" si="111"/>
        <v>142010</v>
      </c>
      <c r="P214" s="296" t="s">
        <v>332</v>
      </c>
      <c r="Q214" s="300"/>
      <c r="R214" s="300"/>
      <c r="S214" s="293"/>
      <c r="T214" s="499"/>
      <c r="U214" s="499"/>
      <c r="V214" s="499"/>
      <c r="W214" s="287" t="str">
        <f>""&amp;TEXT(G214,"0,0")&amp;" ед. х "&amp;TEXT(ROUND((K214/G214),2),"0,00")&amp;" руб. = "&amp;TEXT(ROUND((G214*(ROUND((K214/G214),2))),2),"0 000,00")&amp;" руб. = "&amp;TEXT(O214,"0 000,00")&amp;" руб."</f>
        <v>213,0 ед. х 666,67 руб. = 142 000,71 руб. = 142 010,00 руб.</v>
      </c>
    </row>
    <row r="215" spans="1:23" s="239" customFormat="1" ht="21" customHeight="1" x14ac:dyDescent="0.25">
      <c r="A215" s="489"/>
      <c r="B215" s="492"/>
      <c r="C215" s="291"/>
      <c r="D215" s="495"/>
      <c r="E215" s="495"/>
      <c r="F215" s="298" t="str">
        <f>F15</f>
        <v>норматив на 2024 год :</v>
      </c>
      <c r="G215" s="295">
        <f>G213</f>
        <v>213</v>
      </c>
      <c r="H215" s="296" t="str">
        <f>H214</f>
        <v>ед. х средняя цена с индексом потребительских цен</v>
      </c>
      <c r="I215" s="295">
        <f>I214*1.0487</f>
        <v>699.13682899999992</v>
      </c>
      <c r="J215" s="296" t="s">
        <v>41</v>
      </c>
      <c r="K215" s="295">
        <f t="shared" si="110"/>
        <v>148916.14457699997</v>
      </c>
      <c r="L215" s="296" t="s">
        <v>41</v>
      </c>
      <c r="M215" s="297">
        <f t="shared" ref="M215:M216" si="112">ROUNDUP((K215),0)</f>
        <v>148917</v>
      </c>
      <c r="N215" s="299" t="s">
        <v>37</v>
      </c>
      <c r="O215" s="297">
        <f t="shared" si="111"/>
        <v>148920</v>
      </c>
      <c r="P215" s="296" t="s">
        <v>332</v>
      </c>
      <c r="Q215" s="300"/>
      <c r="R215" s="300"/>
      <c r="S215" s="293"/>
      <c r="T215" s="499"/>
      <c r="U215" s="499"/>
      <c r="V215" s="499"/>
      <c r="W215" s="287" t="str">
        <f>""&amp;TEXT(G215,"0,0")&amp;" ед. х "&amp;TEXT(ROUND((K215/G215),2),"0,00")&amp;" руб. = "&amp;TEXT(ROUND((G215*(ROUND((K215/G215),2))),2),"0 000,00")&amp;" руб. = "&amp;TEXT(O215,"0 000,00")&amp;" руб."</f>
        <v>213,0 ед. х 699,14 руб. = 148 916,82 руб. = 148 920,00 руб.</v>
      </c>
    </row>
    <row r="216" spans="1:23" s="239" customFormat="1" ht="21" customHeight="1" x14ac:dyDescent="0.25">
      <c r="A216" s="490"/>
      <c r="B216" s="493"/>
      <c r="C216" s="291"/>
      <c r="D216" s="496"/>
      <c r="E216" s="496"/>
      <c r="F216" s="298" t="str">
        <f>F16</f>
        <v>норматив на 2025 год :</v>
      </c>
      <c r="G216" s="295">
        <f>G213</f>
        <v>213</v>
      </c>
      <c r="H216" s="296" t="str">
        <f>H214</f>
        <v>ед. х средняя цена с индексом потребительских цен</v>
      </c>
      <c r="I216" s="295">
        <f>I215*1.0457</f>
        <v>731.08738208529996</v>
      </c>
      <c r="J216" s="296" t="s">
        <v>41</v>
      </c>
      <c r="K216" s="295">
        <f t="shared" si="110"/>
        <v>155721.6123841689</v>
      </c>
      <c r="L216" s="296" t="s">
        <v>41</v>
      </c>
      <c r="M216" s="297">
        <f t="shared" si="112"/>
        <v>155722</v>
      </c>
      <c r="N216" s="299" t="s">
        <v>37</v>
      </c>
      <c r="O216" s="297">
        <f t="shared" si="111"/>
        <v>155730</v>
      </c>
      <c r="P216" s="296" t="s">
        <v>332</v>
      </c>
      <c r="Q216" s="300"/>
      <c r="R216" s="300"/>
      <c r="S216" s="293"/>
      <c r="T216" s="500"/>
      <c r="U216" s="500"/>
      <c r="V216" s="500"/>
      <c r="W216" s="287" t="str">
        <f>""&amp;TEXT(G216,"0,0")&amp;" ед. х "&amp;TEXT(ROUND((K216/G216),2),"0,00")&amp;" руб. = "&amp;TEXT(ROUND((G216*(ROUND((K216/G216),2))),2),"0 000,00")&amp;" руб. = "&amp;TEXT(O216,"0 000,00")&amp;" руб."</f>
        <v>213,0 ед. х 731,09 руб. = 155 722,17 руб. = 155 730,00 руб.</v>
      </c>
    </row>
    <row r="217" spans="1:23" ht="27.75" customHeight="1" x14ac:dyDescent="0.25">
      <c r="A217" s="481" t="s">
        <v>338</v>
      </c>
      <c r="B217" s="481"/>
      <c r="C217" s="481"/>
      <c r="D217" s="481"/>
      <c r="E217" s="481"/>
      <c r="F217" s="481"/>
      <c r="G217" s="481"/>
      <c r="H217" s="481"/>
      <c r="I217" s="481"/>
      <c r="J217" s="481"/>
      <c r="K217" s="481"/>
      <c r="L217" s="481"/>
      <c r="M217" s="481"/>
      <c r="N217" s="481"/>
      <c r="O217" s="481"/>
      <c r="P217" s="481"/>
      <c r="Q217" s="481"/>
      <c r="R217" s="481"/>
      <c r="S217" s="481"/>
      <c r="T217" s="481"/>
      <c r="U217" s="481"/>
      <c r="V217" s="481"/>
      <c r="W217" s="481"/>
    </row>
    <row r="218" spans="1:23" ht="10.5" customHeight="1" x14ac:dyDescent="0.25">
      <c r="A218" s="101"/>
      <c r="B218" s="256"/>
      <c r="C218" s="101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256"/>
      <c r="U218" s="256"/>
      <c r="V218" s="256"/>
      <c r="W218" s="101"/>
    </row>
    <row r="219" spans="1:23" ht="25.5" customHeight="1" x14ac:dyDescent="0.25">
      <c r="A219" s="102" t="s">
        <v>197</v>
      </c>
      <c r="W219" s="103" t="s">
        <v>196</v>
      </c>
    </row>
    <row r="221" spans="1:23" x14ac:dyDescent="0.25">
      <c r="A221" s="104"/>
    </row>
  </sheetData>
  <autoFilter ref="D8:R196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346">
    <mergeCell ref="A2:W2"/>
    <mergeCell ref="A3:W3"/>
    <mergeCell ref="A4:W4"/>
    <mergeCell ref="A5:W5"/>
    <mergeCell ref="A6:W6"/>
    <mergeCell ref="A8:A9"/>
    <mergeCell ref="B8:B9"/>
    <mergeCell ref="D8:D9"/>
    <mergeCell ref="E8:E9"/>
    <mergeCell ref="F8:R9"/>
    <mergeCell ref="T8:V8"/>
    <mergeCell ref="W8:W9"/>
    <mergeCell ref="F11:S11"/>
    <mergeCell ref="F12:S12"/>
    <mergeCell ref="A13:A16"/>
    <mergeCell ref="B13:B16"/>
    <mergeCell ref="D13:D16"/>
    <mergeCell ref="E13:E16"/>
    <mergeCell ref="F13:R13"/>
    <mergeCell ref="T13:T16"/>
    <mergeCell ref="W18:W19"/>
    <mergeCell ref="W20:W21"/>
    <mergeCell ref="W22:W23"/>
    <mergeCell ref="F24:S24"/>
    <mergeCell ref="F25:S25"/>
    <mergeCell ref="U13:U16"/>
    <mergeCell ref="V13:V16"/>
    <mergeCell ref="A17:A23"/>
    <mergeCell ref="B17:B23"/>
    <mergeCell ref="D17:D23"/>
    <mergeCell ref="E17:E23"/>
    <mergeCell ref="F17:R17"/>
    <mergeCell ref="T17:T23"/>
    <mergeCell ref="U17:U23"/>
    <mergeCell ref="V17:V23"/>
    <mergeCell ref="U26:U30"/>
    <mergeCell ref="V26:V30"/>
    <mergeCell ref="A31:A35"/>
    <mergeCell ref="B31:B35"/>
    <mergeCell ref="D31:D35"/>
    <mergeCell ref="E31:E35"/>
    <mergeCell ref="F31:R31"/>
    <mergeCell ref="T31:T35"/>
    <mergeCell ref="U31:U35"/>
    <mergeCell ref="V31:V35"/>
    <mergeCell ref="A26:A30"/>
    <mergeCell ref="B26:B30"/>
    <mergeCell ref="D26:D30"/>
    <mergeCell ref="E26:E30"/>
    <mergeCell ref="F26:R26"/>
    <mergeCell ref="T26:T30"/>
    <mergeCell ref="U36:U40"/>
    <mergeCell ref="V36:V40"/>
    <mergeCell ref="A41:A45"/>
    <mergeCell ref="B41:B45"/>
    <mergeCell ref="D41:D45"/>
    <mergeCell ref="E41:E45"/>
    <mergeCell ref="F41:R41"/>
    <mergeCell ref="T41:T45"/>
    <mergeCell ref="U41:U45"/>
    <mergeCell ref="A36:A40"/>
    <mergeCell ref="B36:B40"/>
    <mergeCell ref="D36:D40"/>
    <mergeCell ref="E36:E40"/>
    <mergeCell ref="F36:R36"/>
    <mergeCell ref="T36:T40"/>
    <mergeCell ref="A51:A55"/>
    <mergeCell ref="B51:B55"/>
    <mergeCell ref="D51:D55"/>
    <mergeCell ref="E51:E55"/>
    <mergeCell ref="F51:R51"/>
    <mergeCell ref="V41:V45"/>
    <mergeCell ref="A46:A50"/>
    <mergeCell ref="B46:B50"/>
    <mergeCell ref="D46:D50"/>
    <mergeCell ref="E46:E50"/>
    <mergeCell ref="F46:R46"/>
    <mergeCell ref="T46:T50"/>
    <mergeCell ref="U46:U50"/>
    <mergeCell ref="V46:V50"/>
    <mergeCell ref="T51:T55"/>
    <mergeCell ref="U51:U55"/>
    <mergeCell ref="V51:V55"/>
    <mergeCell ref="A56:A60"/>
    <mergeCell ref="B56:B60"/>
    <mergeCell ref="D56:D60"/>
    <mergeCell ref="E56:E60"/>
    <mergeCell ref="F56:R56"/>
    <mergeCell ref="T56:T60"/>
    <mergeCell ref="U56:U60"/>
    <mergeCell ref="V56:V60"/>
    <mergeCell ref="A61:A65"/>
    <mergeCell ref="B61:B65"/>
    <mergeCell ref="D61:D65"/>
    <mergeCell ref="E61:E65"/>
    <mergeCell ref="F61:R61"/>
    <mergeCell ref="T61:T65"/>
    <mergeCell ref="U61:U65"/>
    <mergeCell ref="V61:V65"/>
    <mergeCell ref="U76:U80"/>
    <mergeCell ref="V76:V80"/>
    <mergeCell ref="A66:A70"/>
    <mergeCell ref="B66:B70"/>
    <mergeCell ref="D66:D70"/>
    <mergeCell ref="E66:E70"/>
    <mergeCell ref="F66:R66"/>
    <mergeCell ref="T66:T70"/>
    <mergeCell ref="U66:U70"/>
    <mergeCell ref="V66:V70"/>
    <mergeCell ref="A71:A75"/>
    <mergeCell ref="B71:B75"/>
    <mergeCell ref="D71:D75"/>
    <mergeCell ref="E71:E75"/>
    <mergeCell ref="F71:R71"/>
    <mergeCell ref="T71:T75"/>
    <mergeCell ref="U71:U75"/>
    <mergeCell ref="V71:V75"/>
    <mergeCell ref="F81:S81"/>
    <mergeCell ref="A82:A85"/>
    <mergeCell ref="B82:B85"/>
    <mergeCell ref="D82:D85"/>
    <mergeCell ref="E82:E85"/>
    <mergeCell ref="F82:R82"/>
    <mergeCell ref="T82:T85"/>
    <mergeCell ref="A76:A80"/>
    <mergeCell ref="B76:B80"/>
    <mergeCell ref="D76:D80"/>
    <mergeCell ref="E76:E80"/>
    <mergeCell ref="F76:R76"/>
    <mergeCell ref="T76:T80"/>
    <mergeCell ref="U82:U85"/>
    <mergeCell ref="V82:V85"/>
    <mergeCell ref="A86:A90"/>
    <mergeCell ref="B86:B90"/>
    <mergeCell ref="D86:D90"/>
    <mergeCell ref="E86:E90"/>
    <mergeCell ref="F86:R86"/>
    <mergeCell ref="T86:T90"/>
    <mergeCell ref="U86:U90"/>
    <mergeCell ref="V86:V90"/>
    <mergeCell ref="A91:A95"/>
    <mergeCell ref="B91:B95"/>
    <mergeCell ref="D91:D95"/>
    <mergeCell ref="E91:E95"/>
    <mergeCell ref="F91:R91"/>
    <mergeCell ref="T91:T95"/>
    <mergeCell ref="U91:U95"/>
    <mergeCell ref="V91:V95"/>
    <mergeCell ref="F106:S106"/>
    <mergeCell ref="U96:U100"/>
    <mergeCell ref="V96:V100"/>
    <mergeCell ref="A101:A105"/>
    <mergeCell ref="B101:B105"/>
    <mergeCell ref="D101:D105"/>
    <mergeCell ref="E101:E105"/>
    <mergeCell ref="F101:R101"/>
    <mergeCell ref="T101:T105"/>
    <mergeCell ref="U101:U105"/>
    <mergeCell ref="V101:V105"/>
    <mergeCell ref="A96:A100"/>
    <mergeCell ref="B96:B100"/>
    <mergeCell ref="D96:D100"/>
    <mergeCell ref="E96:E100"/>
    <mergeCell ref="F96:R96"/>
    <mergeCell ref="T96:T100"/>
    <mergeCell ref="V132:V135"/>
    <mergeCell ref="A111:A115"/>
    <mergeCell ref="B111:B115"/>
    <mergeCell ref="D111:D115"/>
    <mergeCell ref="E111:E115"/>
    <mergeCell ref="F111:R111"/>
    <mergeCell ref="T111:T115"/>
    <mergeCell ref="U111:U115"/>
    <mergeCell ref="V111:V115"/>
    <mergeCell ref="A116:A120"/>
    <mergeCell ref="B116:B120"/>
    <mergeCell ref="D116:D120"/>
    <mergeCell ref="E116:E120"/>
    <mergeCell ref="F116:R116"/>
    <mergeCell ref="T116:T120"/>
    <mergeCell ref="U116:U120"/>
    <mergeCell ref="V116:V120"/>
    <mergeCell ref="A132:A135"/>
    <mergeCell ref="B132:B135"/>
    <mergeCell ref="D132:D135"/>
    <mergeCell ref="E132:E135"/>
    <mergeCell ref="F132:R132"/>
    <mergeCell ref="T132:T135"/>
    <mergeCell ref="U132:U135"/>
    <mergeCell ref="A121:A125"/>
    <mergeCell ref="B121:B125"/>
    <mergeCell ref="D121:D125"/>
    <mergeCell ref="E121:E125"/>
    <mergeCell ref="F121:R121"/>
    <mergeCell ref="T121:T125"/>
    <mergeCell ref="A127:A131"/>
    <mergeCell ref="B127:B131"/>
    <mergeCell ref="D127:D131"/>
    <mergeCell ref="E127:E131"/>
    <mergeCell ref="F127:R127"/>
    <mergeCell ref="T127:T131"/>
    <mergeCell ref="U127:U131"/>
    <mergeCell ref="A136:A140"/>
    <mergeCell ref="B136:B140"/>
    <mergeCell ref="D136:D140"/>
    <mergeCell ref="E136:E140"/>
    <mergeCell ref="F136:R136"/>
    <mergeCell ref="S136:S140"/>
    <mergeCell ref="T136:T140"/>
    <mergeCell ref="U136:U140"/>
    <mergeCell ref="V136:V140"/>
    <mergeCell ref="T141:T145"/>
    <mergeCell ref="U141:U145"/>
    <mergeCell ref="V141:V145"/>
    <mergeCell ref="A146:A150"/>
    <mergeCell ref="B146:B150"/>
    <mergeCell ref="D146:D150"/>
    <mergeCell ref="E146:E150"/>
    <mergeCell ref="F146:R146"/>
    <mergeCell ref="T146:T150"/>
    <mergeCell ref="U146:U150"/>
    <mergeCell ref="A141:A145"/>
    <mergeCell ref="B141:B145"/>
    <mergeCell ref="D141:D145"/>
    <mergeCell ref="E141:E145"/>
    <mergeCell ref="F141:R141"/>
    <mergeCell ref="S141:S145"/>
    <mergeCell ref="V146:V150"/>
    <mergeCell ref="A151:A155"/>
    <mergeCell ref="B151:B155"/>
    <mergeCell ref="D151:D155"/>
    <mergeCell ref="E151:E155"/>
    <mergeCell ref="F151:R151"/>
    <mergeCell ref="T151:T155"/>
    <mergeCell ref="U151:U155"/>
    <mergeCell ref="V151:V155"/>
    <mergeCell ref="U156:U160"/>
    <mergeCell ref="V156:V160"/>
    <mergeCell ref="A161:A165"/>
    <mergeCell ref="B161:B165"/>
    <mergeCell ref="D161:D165"/>
    <mergeCell ref="E161:E165"/>
    <mergeCell ref="F161:R161"/>
    <mergeCell ref="T161:T165"/>
    <mergeCell ref="U161:U165"/>
    <mergeCell ref="V161:V165"/>
    <mergeCell ref="A156:A160"/>
    <mergeCell ref="B156:B160"/>
    <mergeCell ref="D156:D160"/>
    <mergeCell ref="E156:E160"/>
    <mergeCell ref="F156:R156"/>
    <mergeCell ref="T156:T160"/>
    <mergeCell ref="U166:U170"/>
    <mergeCell ref="V166:V170"/>
    <mergeCell ref="A176:A180"/>
    <mergeCell ref="B176:B180"/>
    <mergeCell ref="D176:D180"/>
    <mergeCell ref="E176:E180"/>
    <mergeCell ref="F176:R176"/>
    <mergeCell ref="T176:T180"/>
    <mergeCell ref="U176:U180"/>
    <mergeCell ref="V176:V180"/>
    <mergeCell ref="A166:A170"/>
    <mergeCell ref="B166:B170"/>
    <mergeCell ref="D166:D170"/>
    <mergeCell ref="E166:E170"/>
    <mergeCell ref="F166:R166"/>
    <mergeCell ref="T166:T170"/>
    <mergeCell ref="V171:V175"/>
    <mergeCell ref="A171:A175"/>
    <mergeCell ref="B171:B175"/>
    <mergeCell ref="D171:D175"/>
    <mergeCell ref="E171:E175"/>
    <mergeCell ref="F171:R171"/>
    <mergeCell ref="T171:T175"/>
    <mergeCell ref="U171:U175"/>
    <mergeCell ref="A217:W217"/>
    <mergeCell ref="U197:U201"/>
    <mergeCell ref="V197:V201"/>
    <mergeCell ref="A212:A216"/>
    <mergeCell ref="B212:B216"/>
    <mergeCell ref="D212:D216"/>
    <mergeCell ref="E212:E216"/>
    <mergeCell ref="F212:R212"/>
    <mergeCell ref="T212:T216"/>
    <mergeCell ref="U212:U216"/>
    <mergeCell ref="V212:V216"/>
    <mergeCell ref="A197:A201"/>
    <mergeCell ref="B197:B201"/>
    <mergeCell ref="D197:D201"/>
    <mergeCell ref="E197:E201"/>
    <mergeCell ref="F197:R197"/>
    <mergeCell ref="A207:A211"/>
    <mergeCell ref="B207:B211"/>
    <mergeCell ref="D207:D211"/>
    <mergeCell ref="E207:E211"/>
    <mergeCell ref="F207:R207"/>
    <mergeCell ref="T207:T211"/>
    <mergeCell ref="U207:U211"/>
    <mergeCell ref="V207:V211"/>
    <mergeCell ref="F182:R182"/>
    <mergeCell ref="T182:T186"/>
    <mergeCell ref="U182:U186"/>
    <mergeCell ref="A192:A196"/>
    <mergeCell ref="B192:B196"/>
    <mergeCell ref="D192:D196"/>
    <mergeCell ref="E192:E196"/>
    <mergeCell ref="F192:R192"/>
    <mergeCell ref="T192:T196"/>
    <mergeCell ref="U192:U196"/>
    <mergeCell ref="V127:V131"/>
    <mergeCell ref="U121:U125"/>
    <mergeCell ref="V121:V125"/>
    <mergeCell ref="F126:S126"/>
    <mergeCell ref="A107:A110"/>
    <mergeCell ref="B107:B110"/>
    <mergeCell ref="D107:D110"/>
    <mergeCell ref="E107:E110"/>
    <mergeCell ref="F107:R107"/>
    <mergeCell ref="T107:T110"/>
    <mergeCell ref="U107:U110"/>
    <mergeCell ref="V107:V110"/>
    <mergeCell ref="F181:S181"/>
    <mergeCell ref="A202:A206"/>
    <mergeCell ref="B202:B206"/>
    <mergeCell ref="D202:D206"/>
    <mergeCell ref="E202:E206"/>
    <mergeCell ref="F202:R202"/>
    <mergeCell ref="T202:T206"/>
    <mergeCell ref="U202:U206"/>
    <mergeCell ref="V202:V206"/>
    <mergeCell ref="T197:T201"/>
    <mergeCell ref="V192:V196"/>
    <mergeCell ref="V182:V186"/>
    <mergeCell ref="A187:A191"/>
    <mergeCell ref="B187:B191"/>
    <mergeCell ref="D187:D191"/>
    <mergeCell ref="E187:E191"/>
    <mergeCell ref="F187:R187"/>
    <mergeCell ref="T187:T191"/>
    <mergeCell ref="U187:U191"/>
    <mergeCell ref="V187:V191"/>
    <mergeCell ref="A182:A186"/>
    <mergeCell ref="B182:B186"/>
    <mergeCell ref="D182:D186"/>
    <mergeCell ref="E182:E186"/>
  </mergeCells>
  <pageMargins left="0.55118110236220474" right="0.39370078740157483" top="0.6692913385826772" bottom="0.35433070866141736" header="0.31496062992125984" footer="0.19685039370078741"/>
  <pageSetup paperSize="9" scale="46" fitToHeight="1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X197"/>
  <sheetViews>
    <sheetView zoomScale="60" zoomScaleNormal="60" zoomScaleSheetLayoutView="70" workbookViewId="0">
      <pane xSplit="2" ySplit="10" topLeftCell="L20" activePane="bottomRight" state="frozen"/>
      <selection pane="topRight" activeCell="C1" sqref="C1"/>
      <selection pane="bottomLeft" activeCell="A11" sqref="A11"/>
      <selection pane="bottomRight" activeCell="W75" sqref="W75"/>
    </sheetView>
  </sheetViews>
  <sheetFormatPr defaultColWidth="9.140625" defaultRowHeight="18.75" outlineLevelRow="1" outlineLevelCol="1" x14ac:dyDescent="0.25"/>
  <cols>
    <col min="1" max="1" width="9.5703125" style="55" customWidth="1"/>
    <col min="2" max="2" width="60.42578125" style="154" customWidth="1"/>
    <col min="3" max="3" width="0.28515625" style="55" customWidth="1" outlineLevel="1" collapsed="1"/>
    <col min="4" max="4" width="9" style="55" customWidth="1" outlineLevel="1"/>
    <col min="5" max="5" width="9" style="55" customWidth="1" outlineLevel="1" collapsed="1"/>
    <col min="6" max="6" width="29" style="55" customWidth="1" outlineLevel="1"/>
    <col min="7" max="7" width="13.5703125" style="55" customWidth="1" outlineLevel="1"/>
    <col min="8" max="8" width="32.85546875" style="55" customWidth="1" outlineLevel="1"/>
    <col min="9" max="9" width="16.7109375" style="55" customWidth="1" outlineLevel="1"/>
    <col min="10" max="10" width="29.85546875" style="55" customWidth="1" outlineLevel="1"/>
    <col min="11" max="11" width="17.140625" style="55" customWidth="1" outlineLevel="1"/>
    <col min="12" max="12" width="13.140625" style="55" customWidth="1" outlineLevel="1"/>
    <col min="13" max="13" width="18" style="55" customWidth="1" outlineLevel="1"/>
    <col min="14" max="14" width="26.7109375" style="55" customWidth="1" outlineLevel="1"/>
    <col min="15" max="15" width="24.85546875" style="55" customWidth="1" outlineLevel="1"/>
    <col min="16" max="16" width="19.7109375" style="55" customWidth="1" outlineLevel="1"/>
    <col min="17" max="17" width="14" style="55" customWidth="1" outlineLevel="1"/>
    <col min="18" max="18" width="9.85546875" style="55" customWidth="1" outlineLevel="1"/>
    <col min="19" max="19" width="14.42578125" style="55" hidden="1" customWidth="1" collapsed="1"/>
    <col min="20" max="20" width="20.5703125" style="154" customWidth="1"/>
    <col min="21" max="21" width="19.42578125" style="154" customWidth="1"/>
    <col min="22" max="22" width="20.7109375" style="154" customWidth="1"/>
    <col min="23" max="23" width="150.42578125" style="55" customWidth="1" collapsed="1"/>
    <col min="24" max="24" width="9.85546875" style="55" customWidth="1"/>
    <col min="25" max="25" width="14.140625" style="55" customWidth="1"/>
    <col min="26" max="26" width="15.42578125" style="55" customWidth="1"/>
    <col min="27" max="16384" width="9.140625" style="55"/>
  </cols>
  <sheetData>
    <row r="1" spans="1:23" x14ac:dyDescent="0.25">
      <c r="A1" s="59"/>
    </row>
    <row r="2" spans="1:23" ht="15" x14ac:dyDescent="0.25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</row>
    <row r="3" spans="1:23" ht="15" x14ac:dyDescent="0.25">
      <c r="A3" s="452" t="s">
        <v>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</row>
    <row r="4" spans="1:23" ht="15" x14ac:dyDescent="0.25">
      <c r="A4" s="452" t="s">
        <v>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</row>
    <row r="5" spans="1:23" ht="15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</row>
    <row r="6" spans="1:23" ht="15" x14ac:dyDescent="0.25">
      <c r="A6" s="450" t="s">
        <v>239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</row>
    <row r="7" spans="1:23" x14ac:dyDescent="0.25">
      <c r="A7" s="59"/>
    </row>
    <row r="8" spans="1:23" ht="40.5" customHeight="1" x14ac:dyDescent="0.25">
      <c r="A8" s="383" t="s">
        <v>24</v>
      </c>
      <c r="B8" s="448" t="s">
        <v>4</v>
      </c>
      <c r="C8" s="130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130"/>
      <c r="T8" s="448" t="s">
        <v>23</v>
      </c>
      <c r="U8" s="448"/>
      <c r="V8" s="448"/>
      <c r="W8" s="448" t="s">
        <v>120</v>
      </c>
    </row>
    <row r="9" spans="1:23" ht="30.75" customHeight="1" x14ac:dyDescent="0.25">
      <c r="A9" s="383"/>
      <c r="B9" s="448"/>
      <c r="C9" s="130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130"/>
      <c r="T9" s="249">
        <v>2023</v>
      </c>
      <c r="U9" s="249">
        <v>2024</v>
      </c>
      <c r="V9" s="249">
        <v>2025</v>
      </c>
      <c r="W9" s="448"/>
    </row>
    <row r="10" spans="1:23" ht="21.75" customHeight="1" x14ac:dyDescent="0.25">
      <c r="A10" s="241">
        <v>1</v>
      </c>
      <c r="B10" s="250">
        <v>2</v>
      </c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250">
        <v>3</v>
      </c>
      <c r="U10" s="250">
        <v>4</v>
      </c>
      <c r="V10" s="250">
        <v>5</v>
      </c>
      <c r="W10" s="61">
        <v>6</v>
      </c>
    </row>
    <row r="11" spans="1:23" ht="82.5" customHeight="1" x14ac:dyDescent="0.25">
      <c r="A11" s="62">
        <v>1</v>
      </c>
      <c r="B11" s="257" t="s">
        <v>86</v>
      </c>
      <c r="C11" s="63"/>
      <c r="D11" s="133" t="s">
        <v>35</v>
      </c>
      <c r="E11" s="133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251">
        <f>T12</f>
        <v>2211660</v>
      </c>
      <c r="U11" s="251">
        <f t="shared" ref="U11:V11" si="0">U12</f>
        <v>2319350</v>
      </c>
      <c r="V11" s="251">
        <f t="shared" si="0"/>
        <v>2425350</v>
      </c>
      <c r="W11" s="132" t="str">
        <f>"Нормативные "&amp;TEXT(B11,"0")&amp;" включают в себя:
нормативные "&amp;TEXT(B12,"0")&amp;""</f>
        <v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v>
      </c>
    </row>
    <row r="12" spans="1:23" ht="73.5" customHeight="1" x14ac:dyDescent="0.25">
      <c r="A12" s="242" t="s">
        <v>5</v>
      </c>
      <c r="B12" s="258" t="s">
        <v>92</v>
      </c>
      <c r="C12" s="52"/>
      <c r="D12" s="133" t="s">
        <v>35</v>
      </c>
      <c r="E12" s="133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252">
        <f>SUM(T13,T17)</f>
        <v>2211660</v>
      </c>
      <c r="U12" s="252">
        <f t="shared" ref="U12:V12" si="1">SUM(U13,U17)</f>
        <v>2319350</v>
      </c>
      <c r="V12" s="252">
        <f t="shared" si="1"/>
        <v>2425350</v>
      </c>
      <c r="W12" s="132" t="str">
        <f>"Нормативные "&amp;TEXT(B12,"0")&amp;" включают в себя:
нормативные "&amp;TEXT(B13,"0")&amp;";
нормативные "&amp;TEXT(B17,"0")&amp;""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13" spans="1:23" ht="100.5" customHeight="1" x14ac:dyDescent="0.25">
      <c r="A13" s="438" t="s">
        <v>6</v>
      </c>
      <c r="B13" s="376" t="s">
        <v>91</v>
      </c>
      <c r="C13" s="52"/>
      <c r="D13" s="378">
        <v>346</v>
      </c>
      <c r="E13" s="378">
        <v>242</v>
      </c>
      <c r="F13" s="380" t="s">
        <v>241</v>
      </c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65"/>
      <c r="T13" s="485">
        <f>M14</f>
        <v>134400</v>
      </c>
      <c r="U13" s="485">
        <f>M15</f>
        <v>140940</v>
      </c>
      <c r="V13" s="485">
        <f>M16</f>
        <v>147380</v>
      </c>
      <c r="W13" s="132" t="s">
        <v>39</v>
      </c>
    </row>
    <row r="14" spans="1:23" ht="27.75" customHeight="1" x14ac:dyDescent="0.25">
      <c r="A14" s="438"/>
      <c r="B14" s="377"/>
      <c r="C14" s="52"/>
      <c r="D14" s="379"/>
      <c r="E14" s="379"/>
      <c r="F14" s="136" t="s">
        <v>193</v>
      </c>
      <c r="G14" s="70">
        <v>1</v>
      </c>
      <c r="H14" s="67" t="s">
        <v>253</v>
      </c>
      <c r="I14" s="134">
        <f>12418300*1.0822</f>
        <v>13439084.26</v>
      </c>
      <c r="J14" s="67" t="s">
        <v>41</v>
      </c>
      <c r="K14" s="134">
        <f>ROUND((G14%*I14),2)</f>
        <v>134390.84</v>
      </c>
      <c r="L14" s="67" t="s">
        <v>41</v>
      </c>
      <c r="M14" s="70">
        <f>ROUNDUP((K14),-1)</f>
        <v>134400</v>
      </c>
      <c r="N14" s="71" t="s">
        <v>37</v>
      </c>
      <c r="O14" s="61"/>
      <c r="P14" s="61"/>
      <c r="Q14" s="61"/>
      <c r="R14" s="61"/>
      <c r="S14" s="65"/>
      <c r="T14" s="485"/>
      <c r="U14" s="485"/>
      <c r="V14" s="485"/>
      <c r="W14" s="132" t="str">
        <f>"норматив "&amp;TEXT(G14,"0,0")&amp;" % х "&amp;TEXT(I14,"0 000,00")&amp;" руб. = "&amp;TEXT(K14,"0 000,00")&amp;" руб. = "&amp;TEXT(M14,"0 000,00")&amp;" руб."</f>
        <v>норматив 1,0 % х 13 439 084,26 руб. = 134 390,84 руб. = 134 400,00 руб.</v>
      </c>
    </row>
    <row r="15" spans="1:23" ht="24" customHeight="1" x14ac:dyDescent="0.25">
      <c r="A15" s="438"/>
      <c r="B15" s="377"/>
      <c r="C15" s="52"/>
      <c r="D15" s="379"/>
      <c r="E15" s="379"/>
      <c r="F15" s="136" t="s">
        <v>226</v>
      </c>
      <c r="G15" s="70">
        <v>1</v>
      </c>
      <c r="H15" s="67" t="s">
        <v>253</v>
      </c>
      <c r="I15" s="134">
        <f>I14*1.0487</f>
        <v>14093567.663462</v>
      </c>
      <c r="J15" s="67" t="s">
        <v>41</v>
      </c>
      <c r="K15" s="134">
        <f>ROUND((G15%*I15),2)</f>
        <v>140935.67999999999</v>
      </c>
      <c r="L15" s="67" t="s">
        <v>41</v>
      </c>
      <c r="M15" s="70">
        <f>ROUNDUP((K15),-1)</f>
        <v>140940</v>
      </c>
      <c r="N15" s="71" t="s">
        <v>37</v>
      </c>
      <c r="O15" s="61"/>
      <c r="P15" s="61"/>
      <c r="Q15" s="61"/>
      <c r="R15" s="61"/>
      <c r="S15" s="65"/>
      <c r="T15" s="485"/>
      <c r="U15" s="485"/>
      <c r="V15" s="485"/>
      <c r="W15" s="132" t="str">
        <f>"норматив "&amp;TEXT(G15,"0,0")&amp;" % х "&amp;TEXT(I15,"0 000,00")&amp;" руб. = "&amp;TEXT(K15,"0 000,00")&amp;" руб. = "&amp;TEXT(M15,"0 000,00")&amp;" руб."</f>
        <v>норматив 1,0 % х 14 093 567,66 руб. = 140 935,68 руб. = 140 940,00 руб.</v>
      </c>
    </row>
    <row r="16" spans="1:23" ht="27" customHeight="1" x14ac:dyDescent="0.25">
      <c r="A16" s="438"/>
      <c r="B16" s="377"/>
      <c r="C16" s="52"/>
      <c r="D16" s="379"/>
      <c r="E16" s="379"/>
      <c r="F16" s="136" t="s">
        <v>240</v>
      </c>
      <c r="G16" s="70">
        <v>1</v>
      </c>
      <c r="H16" s="67" t="s">
        <v>253</v>
      </c>
      <c r="I16" s="134">
        <f>I15*1.0457</f>
        <v>14737643.705682214</v>
      </c>
      <c r="J16" s="67" t="s">
        <v>41</v>
      </c>
      <c r="K16" s="134">
        <f>ROUND((G16%*I16),2)</f>
        <v>147376.44</v>
      </c>
      <c r="L16" s="67" t="s">
        <v>41</v>
      </c>
      <c r="M16" s="70">
        <f>ROUNDUP((K16),-1)</f>
        <v>147380</v>
      </c>
      <c r="N16" s="71" t="s">
        <v>37</v>
      </c>
      <c r="O16" s="61"/>
      <c r="P16" s="61"/>
      <c r="Q16" s="61"/>
      <c r="R16" s="61"/>
      <c r="S16" s="65"/>
      <c r="T16" s="485"/>
      <c r="U16" s="485"/>
      <c r="V16" s="485"/>
      <c r="W16" s="132" t="str">
        <f>"норматив "&amp;TEXT(G16,"0,0")&amp;" % х "&amp;TEXT(I16,"0 000,00")&amp;" руб. = "&amp;TEXT(K16,"0 000,00")&amp;" руб. = "&amp;TEXT(M16,"0 000,00")&amp;" руб."</f>
        <v>норматив 1,0 % х 14 737 643,71 руб. = 147 376,44 руб. = 147 380,00 руб.</v>
      </c>
    </row>
    <row r="17" spans="1:23" ht="162.75" customHeight="1" x14ac:dyDescent="0.25">
      <c r="A17" s="438" t="s">
        <v>225</v>
      </c>
      <c r="B17" s="376" t="s">
        <v>123</v>
      </c>
      <c r="C17" s="64"/>
      <c r="D17" s="378">
        <v>346</v>
      </c>
      <c r="E17" s="378">
        <v>242</v>
      </c>
      <c r="F17" s="380" t="s">
        <v>243</v>
      </c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65"/>
      <c r="T17" s="485">
        <f>M19</f>
        <v>2077260</v>
      </c>
      <c r="U17" s="485">
        <f>M21</f>
        <v>2178410</v>
      </c>
      <c r="V17" s="485">
        <f>M23</f>
        <v>2277970</v>
      </c>
      <c r="W17" s="132" t="s">
        <v>46</v>
      </c>
    </row>
    <row r="18" spans="1:23" ht="15" x14ac:dyDescent="0.25">
      <c r="A18" s="438"/>
      <c r="B18" s="377"/>
      <c r="C18" s="64"/>
      <c r="D18" s="379"/>
      <c r="E18" s="379"/>
      <c r="F18" s="68" t="s">
        <v>199</v>
      </c>
      <c r="G18" s="134">
        <v>32508</v>
      </c>
      <c r="H18" s="67" t="s">
        <v>42</v>
      </c>
      <c r="I18" s="134">
        <v>213</v>
      </c>
      <c r="J18" s="67" t="s">
        <v>45</v>
      </c>
      <c r="K18" s="134">
        <v>5</v>
      </c>
      <c r="L18" s="67" t="s">
        <v>43</v>
      </c>
      <c r="M18" s="134">
        <v>0</v>
      </c>
      <c r="N18" s="67" t="s">
        <v>44</v>
      </c>
      <c r="O18" s="134">
        <f>ROUND((G18*(I18/K18+M18)),2)</f>
        <v>1384840.8</v>
      </c>
      <c r="P18" s="67" t="s">
        <v>37</v>
      </c>
      <c r="Q18" s="67"/>
      <c r="R18" s="65"/>
      <c r="S18" s="65"/>
      <c r="T18" s="485"/>
      <c r="U18" s="485"/>
      <c r="V18" s="485"/>
      <c r="W18" s="459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32 508,00 руб. х (213,00 шт.ед. : срок 5 лет + 0,00 шт.ед.) = 1 384 840,80 руб.) = 2 077 261,20 руб. = 2 077 260,00 руб.</v>
      </c>
    </row>
    <row r="19" spans="1:23" ht="15" x14ac:dyDescent="0.25">
      <c r="A19" s="438"/>
      <c r="B19" s="377"/>
      <c r="C19" s="64"/>
      <c r="D19" s="379"/>
      <c r="E19" s="379"/>
      <c r="F19" s="68" t="str">
        <f>F14</f>
        <v>норматив на 2023 год :</v>
      </c>
      <c r="G19" s="70">
        <v>150</v>
      </c>
      <c r="H19" s="67" t="s">
        <v>40</v>
      </c>
      <c r="I19" s="134">
        <f>O18</f>
        <v>1384840.8</v>
      </c>
      <c r="J19" s="67" t="s">
        <v>41</v>
      </c>
      <c r="K19" s="134">
        <f>ROUND((G19%*I19),2)</f>
        <v>2077261.2</v>
      </c>
      <c r="L19" s="67" t="s">
        <v>41</v>
      </c>
      <c r="M19" s="70">
        <f>ROUNDDOWN((K19),-1)</f>
        <v>2077260</v>
      </c>
      <c r="N19" s="71" t="s">
        <v>37</v>
      </c>
      <c r="O19" s="61"/>
      <c r="P19" s="61"/>
      <c r="Q19" s="61"/>
      <c r="R19" s="61"/>
      <c r="S19" s="65"/>
      <c r="T19" s="485"/>
      <c r="U19" s="485"/>
      <c r="V19" s="485"/>
      <c r="W19" s="460"/>
    </row>
    <row r="20" spans="1:23" ht="15" x14ac:dyDescent="0.25">
      <c r="A20" s="438"/>
      <c r="B20" s="377"/>
      <c r="C20" s="64"/>
      <c r="D20" s="379"/>
      <c r="E20" s="379"/>
      <c r="F20" s="68" t="s">
        <v>229</v>
      </c>
      <c r="G20" s="134">
        <v>34091</v>
      </c>
      <c r="H20" s="67" t="s">
        <v>42</v>
      </c>
      <c r="I20" s="134">
        <v>213</v>
      </c>
      <c r="J20" s="67" t="s">
        <v>45</v>
      </c>
      <c r="K20" s="134">
        <v>5</v>
      </c>
      <c r="L20" s="67" t="s">
        <v>43</v>
      </c>
      <c r="M20" s="134">
        <v>0</v>
      </c>
      <c r="N20" s="67" t="s">
        <v>44</v>
      </c>
      <c r="O20" s="134">
        <f>ROUND((G20*(I20/K20+M20)),2)</f>
        <v>1452276.6</v>
      </c>
      <c r="P20" s="67" t="s">
        <v>37</v>
      </c>
      <c r="Q20" s="67"/>
      <c r="R20" s="65"/>
      <c r="S20" s="65"/>
      <c r="T20" s="485"/>
      <c r="U20" s="485"/>
      <c r="V20" s="485"/>
      <c r="W20" s="459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34 091,00 руб. х (213,00 шт.ед. : срок 5 лет + 0,00 шт.ед.) = 1 452 276,60 руб.) = 2 178 414,90 руб. = 2 178 410,00 руб.</v>
      </c>
    </row>
    <row r="21" spans="1:23" ht="15" x14ac:dyDescent="0.25">
      <c r="A21" s="438"/>
      <c r="B21" s="377"/>
      <c r="C21" s="64"/>
      <c r="D21" s="379"/>
      <c r="E21" s="379"/>
      <c r="F21" s="68" t="str">
        <f>F15</f>
        <v>норматив на 2024 год :</v>
      </c>
      <c r="G21" s="70">
        <v>150</v>
      </c>
      <c r="H21" s="67" t="s">
        <v>40</v>
      </c>
      <c r="I21" s="134">
        <f>O20</f>
        <v>1452276.6</v>
      </c>
      <c r="J21" s="67" t="s">
        <v>41</v>
      </c>
      <c r="K21" s="134">
        <f>ROUND((G21%*I21),2)</f>
        <v>2178414.9</v>
      </c>
      <c r="L21" s="67" t="s">
        <v>41</v>
      </c>
      <c r="M21" s="70">
        <f>ROUNDDOWN((K21),-1)</f>
        <v>2178410</v>
      </c>
      <c r="N21" s="71" t="s">
        <v>37</v>
      </c>
      <c r="O21" s="61"/>
      <c r="P21" s="61"/>
      <c r="Q21" s="61"/>
      <c r="R21" s="61"/>
      <c r="S21" s="65"/>
      <c r="T21" s="530"/>
      <c r="U21" s="530"/>
      <c r="V21" s="530"/>
      <c r="W21" s="460"/>
    </row>
    <row r="22" spans="1:23" ht="15" x14ac:dyDescent="0.25">
      <c r="A22" s="438"/>
      <c r="B22" s="377"/>
      <c r="C22" s="64"/>
      <c r="D22" s="379"/>
      <c r="E22" s="379"/>
      <c r="F22" s="68" t="s">
        <v>242</v>
      </c>
      <c r="G22" s="134">
        <v>35649</v>
      </c>
      <c r="H22" s="67" t="s">
        <v>42</v>
      </c>
      <c r="I22" s="134">
        <v>213</v>
      </c>
      <c r="J22" s="67" t="s">
        <v>45</v>
      </c>
      <c r="K22" s="134">
        <v>5</v>
      </c>
      <c r="L22" s="67" t="s">
        <v>43</v>
      </c>
      <c r="M22" s="134">
        <v>0</v>
      </c>
      <c r="N22" s="67" t="s">
        <v>44</v>
      </c>
      <c r="O22" s="134">
        <f>ROUND((G22*(I22/K22+M22)),2)</f>
        <v>1518647.4</v>
      </c>
      <c r="P22" s="67" t="s">
        <v>37</v>
      </c>
      <c r="Q22" s="67"/>
      <c r="R22" s="65"/>
      <c r="S22" s="61"/>
      <c r="T22" s="530"/>
      <c r="U22" s="530"/>
      <c r="V22" s="530"/>
      <c r="W22" s="459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35 649,00 руб. х (213,00 шт.ед. : срок 5 лет + 0,00 шт.ед.) = 1 518 647,40 руб.) = 2 277 971,10 руб. = 2 277 970,00 руб.</v>
      </c>
    </row>
    <row r="23" spans="1:23" ht="21" customHeight="1" x14ac:dyDescent="0.25">
      <c r="A23" s="438"/>
      <c r="B23" s="377"/>
      <c r="C23" s="52"/>
      <c r="D23" s="379"/>
      <c r="E23" s="379"/>
      <c r="F23" s="68" t="str">
        <f>F16</f>
        <v>норматив на 2025 год :</v>
      </c>
      <c r="G23" s="70">
        <v>150</v>
      </c>
      <c r="H23" s="67" t="s">
        <v>40</v>
      </c>
      <c r="I23" s="134">
        <f>O22</f>
        <v>1518647.4</v>
      </c>
      <c r="J23" s="67" t="s">
        <v>41</v>
      </c>
      <c r="K23" s="129">
        <f>ROUND((G23%*I23),2)</f>
        <v>2277971.1</v>
      </c>
      <c r="L23" s="67" t="s">
        <v>41</v>
      </c>
      <c r="M23" s="70">
        <f>ROUNDDOWN((K23),-1)</f>
        <v>2277970</v>
      </c>
      <c r="N23" s="71" t="s">
        <v>37</v>
      </c>
      <c r="O23" s="61"/>
      <c r="P23" s="61"/>
      <c r="Q23" s="61"/>
      <c r="R23" s="61"/>
      <c r="S23" s="65"/>
      <c r="T23" s="530"/>
      <c r="U23" s="530"/>
      <c r="V23" s="530"/>
      <c r="W23" s="460"/>
    </row>
    <row r="24" spans="1:23" ht="150" customHeight="1" x14ac:dyDescent="0.25">
      <c r="A24" s="62">
        <v>2</v>
      </c>
      <c r="B24" s="257" t="s">
        <v>118</v>
      </c>
      <c r="C24" s="63"/>
      <c r="D24" s="244" t="s">
        <v>35</v>
      </c>
      <c r="E24" s="244" t="s">
        <v>35</v>
      </c>
      <c r="F24" s="439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251">
        <f>SUM(T25,T75,T102,T122,T167)</f>
        <v>13538280</v>
      </c>
      <c r="U24" s="251">
        <f>SUM(U25,U75,U102,U122,U167)</f>
        <v>14197220</v>
      </c>
      <c r="V24" s="251">
        <f>SUM(V25,V75,V102,V122,V167)</f>
        <v>14851120</v>
      </c>
      <c r="W24" s="264" t="str">
        <f>"Нормативные "&amp;TEXT(B24,"0")&amp;" включают в себя:
нормативные "&amp;TEXT(B25,"0")&amp;";
нормативные "&amp;TEXT(B75,"0")&amp;";
нормативные "&amp;TEXT(B102,"0")&amp;";
нормативные "&amp;TEXT(B122,"0")&amp;";
нормативные "&amp;TEXT(B167,"0")&amp;""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25" spans="1:23" ht="72.75" customHeight="1" x14ac:dyDescent="0.25">
      <c r="A25" s="241" t="s">
        <v>9</v>
      </c>
      <c r="B25" s="258" t="s">
        <v>117</v>
      </c>
      <c r="C25" s="52"/>
      <c r="D25" s="244" t="s">
        <v>35</v>
      </c>
      <c r="E25" s="244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251">
        <f>SUM(T26,T42,T64)</f>
        <v>310400</v>
      </c>
      <c r="U25" s="251">
        <f>SUM(U26,U42,U64)</f>
        <v>325500</v>
      </c>
      <c r="V25" s="251">
        <f>SUM(V26,V42,V64)</f>
        <v>340380</v>
      </c>
      <c r="W25" s="264" t="str">
        <f>"Нормативные "&amp;TEXT(B25,"0")&amp;" включают в себя:
нормативные "&amp;TEXT(B26,"0")&amp;";   нормативные "&amp;TEXT(B42,"0")&amp;";
нормативные "&amp;TEXT(B64,"0")&amp;""</f>
        <v>Нормативные затраты на содержание имущества включают в себя:
нормативные затраты на техническое обслуживание и ремонт транспортных средств;   нормативные затраты на техническое обслуживание и регламентно-профилактический ремонт иного оборудования;
нормативные иные затраты на техническое обслуживание и содержание имущества</v>
      </c>
    </row>
    <row r="26" spans="1:23" ht="66.75" customHeight="1" x14ac:dyDescent="0.25">
      <c r="A26" s="242" t="s">
        <v>10</v>
      </c>
      <c r="B26" s="260" t="s">
        <v>112</v>
      </c>
      <c r="C26" s="52"/>
      <c r="D26" s="244" t="s">
        <v>35</v>
      </c>
      <c r="E26" s="244" t="s">
        <v>35</v>
      </c>
      <c r="F26" s="423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  <c r="T26" s="253">
        <f>SUM(T27,T32,T37)</f>
        <v>16530</v>
      </c>
      <c r="U26" s="253">
        <f t="shared" ref="U26:V26" si="2">SUM(U27,U32,U37)</f>
        <v>17330</v>
      </c>
      <c r="V26" s="253">
        <f t="shared" si="2"/>
        <v>18130</v>
      </c>
      <c r="W26" s="132" t="str">
        <f>"Нормативные "&amp;TEXT(B26,"0")&amp;" включают в себя:
нормативные "&amp;TEXT(B27,"0")&amp;"; нормативные "&amp;TEXT(B64,"0")&amp;";
нормативные "&amp;TEXT(B37,"0")&amp;""</f>
        <v>Нормативные затраты на техническое обслуживание и ремонт транспортных средств включают в себя:
нормативные затраты на техническое обслуживание автомобиля; нормативные иные затраты на техническое обслуживание и содержание имущества;
нормативные затраты на ремонт автомобиля</v>
      </c>
    </row>
    <row r="27" spans="1:23" ht="120" customHeight="1" x14ac:dyDescent="0.25">
      <c r="A27" s="383" t="s">
        <v>162</v>
      </c>
      <c r="B27" s="440" t="s">
        <v>113</v>
      </c>
      <c r="C27" s="64"/>
      <c r="D27" s="378">
        <v>225</v>
      </c>
      <c r="E27" s="378">
        <v>244</v>
      </c>
      <c r="F27" s="380" t="s">
        <v>245</v>
      </c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65"/>
      <c r="T27" s="485">
        <f>O29</f>
        <v>12990</v>
      </c>
      <c r="U27" s="485">
        <f>O30</f>
        <v>13620</v>
      </c>
      <c r="V27" s="485">
        <f>O31</f>
        <v>14250</v>
      </c>
      <c r="W27" s="132" t="s">
        <v>83</v>
      </c>
    </row>
    <row r="28" spans="1:23" ht="18" customHeight="1" outlineLevel="1" x14ac:dyDescent="0.25">
      <c r="A28" s="383"/>
      <c r="B28" s="441"/>
      <c r="C28" s="64"/>
      <c r="D28" s="379"/>
      <c r="E28" s="384"/>
      <c r="F28" s="61">
        <v>2022</v>
      </c>
      <c r="G28" s="134">
        <v>1</v>
      </c>
      <c r="H28" s="67" t="s">
        <v>81</v>
      </c>
      <c r="I28" s="134">
        <v>1</v>
      </c>
      <c r="J28" s="67" t="s">
        <v>73</v>
      </c>
      <c r="K28" s="134">
        <v>12000</v>
      </c>
      <c r="L28" s="67" t="s">
        <v>41</v>
      </c>
      <c r="M28" s="138">
        <f>ROUND((G28*I28*K28),0)</f>
        <v>12000</v>
      </c>
      <c r="N28" s="67" t="s">
        <v>37</v>
      </c>
      <c r="O28" s="67"/>
      <c r="P28" s="67"/>
      <c r="Q28" s="67"/>
      <c r="R28" s="65"/>
      <c r="S28" s="65"/>
      <c r="T28" s="485"/>
      <c r="U28" s="485"/>
      <c r="V28" s="485"/>
    </row>
    <row r="29" spans="1:23" ht="30" customHeight="1" x14ac:dyDescent="0.25">
      <c r="A29" s="383"/>
      <c r="B29" s="441"/>
      <c r="C29" s="64"/>
      <c r="D29" s="379"/>
      <c r="E29" s="384"/>
      <c r="F29" s="68" t="str">
        <f>F14</f>
        <v>норматив на 2023 год :</v>
      </c>
      <c r="G29" s="134">
        <v>1</v>
      </c>
      <c r="H29" s="65" t="s">
        <v>254</v>
      </c>
      <c r="I29" s="134">
        <v>1</v>
      </c>
      <c r="J29" s="67" t="str">
        <f>J28</f>
        <v>раз х средняя цена</v>
      </c>
      <c r="K29" s="129">
        <f>K28*1.0822</f>
        <v>12986.400000000001</v>
      </c>
      <c r="L29" s="67" t="s">
        <v>41</v>
      </c>
      <c r="M29" s="134">
        <f>ROUND((G29*I29*K29),0)</f>
        <v>12986</v>
      </c>
      <c r="N29" s="71" t="s">
        <v>37</v>
      </c>
      <c r="O29" s="70">
        <f>ROUNDUP((M29),-1)</f>
        <v>12990</v>
      </c>
      <c r="P29" s="71" t="s">
        <v>37</v>
      </c>
      <c r="Q29" s="72"/>
      <c r="R29" s="72"/>
      <c r="S29" s="65"/>
      <c r="T29" s="485"/>
      <c r="U29" s="485"/>
      <c r="V29" s="485"/>
      <c r="W29" s="132" t="str">
        <f>""&amp;TEXT(I29,"0,0")&amp;" авт. х "&amp;TEXT(I29,"0,0")&amp;" раз х "&amp;TEXT(ROUND((K29),2),"0 000,00")&amp;" руб. = "&amp;TEXT(ROUND((M29),2),"0 000,00")&amp;" руб. = "&amp;TEXT(O29,"0 000,00")&amp;" руб."</f>
        <v>1,0 авт. х 1,0 раз х 12 986,40 руб. = 12 986,00 руб. = 12 990,00 руб.</v>
      </c>
    </row>
    <row r="30" spans="1:23" ht="30" customHeight="1" x14ac:dyDescent="0.25">
      <c r="A30" s="383"/>
      <c r="B30" s="441"/>
      <c r="C30" s="64"/>
      <c r="D30" s="379"/>
      <c r="E30" s="384"/>
      <c r="F30" s="68" t="str">
        <f t="shared" ref="F30:F31" si="3">F15</f>
        <v>норматив на 2024 год :</v>
      </c>
      <c r="G30" s="134">
        <v>1</v>
      </c>
      <c r="H30" s="67" t="str">
        <f>H29</f>
        <v xml:space="preserve">авт.  </v>
      </c>
      <c r="I30" s="134">
        <v>1</v>
      </c>
      <c r="J30" s="67" t="str">
        <f>J28</f>
        <v>раз х средняя цена</v>
      </c>
      <c r="K30" s="129">
        <f>K29*1.0487</f>
        <v>13618.837680000001</v>
      </c>
      <c r="L30" s="67" t="s">
        <v>41</v>
      </c>
      <c r="M30" s="134">
        <f>ROUND((G30*I30*K30),0)</f>
        <v>13619</v>
      </c>
      <c r="N30" s="71" t="s">
        <v>37</v>
      </c>
      <c r="O30" s="70">
        <f>ROUNDUP((M30),-1)</f>
        <v>13620</v>
      </c>
      <c r="P30" s="71" t="s">
        <v>37</v>
      </c>
      <c r="Q30" s="72"/>
      <c r="R30" s="72"/>
      <c r="S30" s="72"/>
      <c r="T30" s="485"/>
      <c r="U30" s="485"/>
      <c r="V30" s="485"/>
      <c r="W30" s="132" t="str">
        <f t="shared" ref="W30:W31" si="4">""&amp;TEXT(I30,"0,0")&amp;" авт. х "&amp;TEXT(I30,"0,0")&amp;" раз х "&amp;TEXT(ROUND((K30),2),"0 000,00")&amp;" руб. = "&amp;TEXT(ROUND((M30),2),"0 000,00")&amp;" руб. = "&amp;TEXT(O30,"0 000,00")&amp;" руб."</f>
        <v>1,0 авт. х 1,0 раз х 13 618,84 руб. = 13 619,00 руб. = 13 620,00 руб.</v>
      </c>
    </row>
    <row r="31" spans="1:23" ht="30" customHeight="1" x14ac:dyDescent="0.25">
      <c r="A31" s="383"/>
      <c r="B31" s="441"/>
      <c r="C31" s="64"/>
      <c r="D31" s="379"/>
      <c r="E31" s="384"/>
      <c r="F31" s="68" t="str">
        <f t="shared" si="3"/>
        <v>норматив на 2025 год :</v>
      </c>
      <c r="G31" s="134">
        <v>1</v>
      </c>
      <c r="H31" s="67" t="str">
        <f>H29</f>
        <v xml:space="preserve">авт.  </v>
      </c>
      <c r="I31" s="134">
        <v>1</v>
      </c>
      <c r="J31" s="67" t="str">
        <f>J28</f>
        <v>раз х средняя цена</v>
      </c>
      <c r="K31" s="129">
        <f>K30*1.0457</f>
        <v>14241.218561976002</v>
      </c>
      <c r="L31" s="67" t="s">
        <v>41</v>
      </c>
      <c r="M31" s="134">
        <f>ROUND((G31*I31*K31),0)</f>
        <v>14241</v>
      </c>
      <c r="N31" s="71" t="s">
        <v>37</v>
      </c>
      <c r="O31" s="70">
        <f>ROUNDUP((M31),-1)</f>
        <v>14250</v>
      </c>
      <c r="P31" s="71" t="s">
        <v>37</v>
      </c>
      <c r="Q31" s="70"/>
      <c r="R31" s="71"/>
      <c r="S31" s="71"/>
      <c r="T31" s="485"/>
      <c r="U31" s="485"/>
      <c r="V31" s="485"/>
      <c r="W31" s="132" t="str">
        <f t="shared" si="4"/>
        <v>1,0 авт. х 1,0 раз х 14 241,22 руб. = 14 241,00 руб. = 14 250,00 руб.</v>
      </c>
    </row>
    <row r="32" spans="1:23" ht="120.75" customHeight="1" x14ac:dyDescent="0.25">
      <c r="A32" s="383" t="s">
        <v>163</v>
      </c>
      <c r="B32" s="376" t="s">
        <v>114</v>
      </c>
      <c r="C32" s="64"/>
      <c r="D32" s="378">
        <v>225</v>
      </c>
      <c r="E32" s="378">
        <v>244</v>
      </c>
      <c r="F32" s="380" t="s">
        <v>245</v>
      </c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65"/>
      <c r="T32" s="485">
        <f>O34</f>
        <v>1320</v>
      </c>
      <c r="U32" s="485">
        <f>O35</f>
        <v>1380</v>
      </c>
      <c r="V32" s="485">
        <f>O36</f>
        <v>1450</v>
      </c>
      <c r="W32" s="132" t="s">
        <v>82</v>
      </c>
    </row>
    <row r="33" spans="1:23" ht="21.75" customHeight="1" outlineLevel="1" x14ac:dyDescent="0.25">
      <c r="A33" s="383"/>
      <c r="B33" s="377"/>
      <c r="C33" s="64"/>
      <c r="D33" s="379"/>
      <c r="E33" s="379"/>
      <c r="F33" s="61">
        <v>2022</v>
      </c>
      <c r="G33" s="134">
        <v>1</v>
      </c>
      <c r="H33" s="67" t="s">
        <v>81</v>
      </c>
      <c r="I33" s="134">
        <v>1</v>
      </c>
      <c r="J33" s="67" t="s">
        <v>255</v>
      </c>
      <c r="K33" s="134">
        <v>1215.02</v>
      </c>
      <c r="L33" s="67" t="s">
        <v>41</v>
      </c>
      <c r="M33" s="134">
        <f>ROUND((G33*I33*K33),2)</f>
        <v>1215.02</v>
      </c>
      <c r="N33" s="67" t="s">
        <v>37</v>
      </c>
      <c r="O33" s="70">
        <f>ROUNDUP((M33),-1)</f>
        <v>1220</v>
      </c>
      <c r="P33" s="67"/>
      <c r="Q33" s="67"/>
      <c r="R33" s="65"/>
      <c r="S33" s="65"/>
      <c r="T33" s="485"/>
      <c r="U33" s="485"/>
      <c r="V33" s="485"/>
    </row>
    <row r="34" spans="1:23" ht="26.25" customHeight="1" x14ac:dyDescent="0.25">
      <c r="A34" s="383"/>
      <c r="B34" s="377"/>
      <c r="C34" s="64"/>
      <c r="D34" s="379"/>
      <c r="E34" s="379"/>
      <c r="F34" s="68" t="str">
        <f>F14</f>
        <v>норматив на 2023 год :</v>
      </c>
      <c r="G34" s="134">
        <v>1</v>
      </c>
      <c r="H34" s="67" t="s">
        <v>81</v>
      </c>
      <c r="I34" s="69">
        <v>1</v>
      </c>
      <c r="J34" s="67" t="str">
        <f>J33</f>
        <v xml:space="preserve">раз х средняя цена </v>
      </c>
      <c r="K34" s="129">
        <f>K33*1.0822</f>
        <v>1314.894644</v>
      </c>
      <c r="L34" s="67" t="s">
        <v>41</v>
      </c>
      <c r="M34" s="134">
        <f>ROUND((G34*I34*K34),0)</f>
        <v>1315</v>
      </c>
      <c r="N34" s="71" t="s">
        <v>37</v>
      </c>
      <c r="O34" s="70">
        <f>ROUNDUP((M34),-1)</f>
        <v>1320</v>
      </c>
      <c r="P34" s="71" t="s">
        <v>37</v>
      </c>
      <c r="Q34" s="72"/>
      <c r="R34" s="72"/>
      <c r="S34" s="65"/>
      <c r="T34" s="485"/>
      <c r="U34" s="485"/>
      <c r="V34" s="485"/>
      <c r="W34" s="132" t="str">
        <f>""&amp;TEXT(G34,"0,0")&amp;" авт. х "&amp;TEXT(I34,"0,0")&amp;" раз х "&amp;TEXT(ROUND((K34),2),"000,00")&amp;" руб. = "&amp;TEXT(ROUND((M34),2),"000,00")&amp;" руб. = "&amp;TEXT(O34,"0 000,00")&amp;" руб."</f>
        <v>1,0 авт. х 1,0 раз х 1314,89 руб. = 1315,00 руб. = 1 320,00 руб.</v>
      </c>
    </row>
    <row r="35" spans="1:23" ht="26.25" customHeight="1" x14ac:dyDescent="0.25">
      <c r="A35" s="383"/>
      <c r="B35" s="377"/>
      <c r="C35" s="64"/>
      <c r="D35" s="379"/>
      <c r="E35" s="379"/>
      <c r="F35" s="68" t="str">
        <f t="shared" ref="F35:F36" si="5">F15</f>
        <v>норматив на 2024 год :</v>
      </c>
      <c r="G35" s="134">
        <v>1</v>
      </c>
      <c r="H35" s="67" t="s">
        <v>81</v>
      </c>
      <c r="I35" s="69">
        <v>1</v>
      </c>
      <c r="J35" s="67" t="str">
        <f>J33</f>
        <v xml:space="preserve">раз х средняя цена </v>
      </c>
      <c r="K35" s="129">
        <f>K34*1.0487</f>
        <v>1378.9300131627999</v>
      </c>
      <c r="L35" s="67" t="s">
        <v>41</v>
      </c>
      <c r="M35" s="134">
        <f>ROUND((G35*I35*K35),0)</f>
        <v>1379</v>
      </c>
      <c r="N35" s="67" t="s">
        <v>41</v>
      </c>
      <c r="O35" s="70">
        <f>ROUNDUP((M35),-1)</f>
        <v>1380</v>
      </c>
      <c r="P35" s="71" t="s">
        <v>37</v>
      </c>
      <c r="Q35" s="72"/>
      <c r="R35" s="72"/>
      <c r="S35" s="65"/>
      <c r="T35" s="485"/>
      <c r="U35" s="485"/>
      <c r="V35" s="485"/>
      <c r="W35" s="132" t="str">
        <f t="shared" ref="W35:W36" si="6">""&amp;TEXT(G35,"0,0")&amp;" авт. х "&amp;TEXT(I35,"0,0")&amp;" раз х "&amp;TEXT(ROUND((K35),2),"000,00")&amp;" руб. = "&amp;TEXT(ROUND((M35),2),"000,00")&amp;" руб. = "&amp;TEXT(O35,"0 000,00")&amp;" руб."</f>
        <v>1,0 авт. х 1,0 раз х 1378,93 руб. = 1379,00 руб. = 1 380,00 руб.</v>
      </c>
    </row>
    <row r="36" spans="1:23" ht="26.25" customHeight="1" x14ac:dyDescent="0.25">
      <c r="A36" s="383"/>
      <c r="B36" s="377"/>
      <c r="C36" s="64"/>
      <c r="D36" s="379"/>
      <c r="E36" s="379"/>
      <c r="F36" s="68" t="str">
        <f t="shared" si="5"/>
        <v>норматив на 2025 год :</v>
      </c>
      <c r="G36" s="134">
        <v>1</v>
      </c>
      <c r="H36" s="67" t="s">
        <v>81</v>
      </c>
      <c r="I36" s="69">
        <v>1</v>
      </c>
      <c r="J36" s="67" t="str">
        <f>J33</f>
        <v xml:space="preserve">раз х средняя цена </v>
      </c>
      <c r="K36" s="129">
        <f>K35*1.0457</f>
        <v>1441.9471147643401</v>
      </c>
      <c r="L36" s="67" t="s">
        <v>41</v>
      </c>
      <c r="M36" s="134">
        <f>ROUND((G36*I36*K36),0)</f>
        <v>1442</v>
      </c>
      <c r="N36" s="67" t="s">
        <v>25</v>
      </c>
      <c r="O36" s="70">
        <f>ROUNDUP((M36),-1)</f>
        <v>1450</v>
      </c>
      <c r="P36" s="71" t="s">
        <v>37</v>
      </c>
      <c r="Q36" s="70"/>
      <c r="R36" s="71"/>
      <c r="S36" s="65"/>
      <c r="T36" s="486"/>
      <c r="U36" s="486"/>
      <c r="V36" s="486"/>
      <c r="W36" s="132" t="str">
        <f t="shared" si="6"/>
        <v>1,0 авт. х 1,0 раз х 1441,95 руб. = 1442,00 руб. = 1 450,00 руб.</v>
      </c>
    </row>
    <row r="37" spans="1:23" ht="117.75" customHeight="1" x14ac:dyDescent="0.25">
      <c r="A37" s="383" t="s">
        <v>201</v>
      </c>
      <c r="B37" s="376" t="s">
        <v>202</v>
      </c>
      <c r="C37" s="64"/>
      <c r="D37" s="378">
        <v>225</v>
      </c>
      <c r="E37" s="378">
        <v>244</v>
      </c>
      <c r="F37" s="380" t="s">
        <v>245</v>
      </c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65"/>
      <c r="T37" s="485">
        <f>O39</f>
        <v>2220</v>
      </c>
      <c r="U37" s="485">
        <f>O40</f>
        <v>2330</v>
      </c>
      <c r="V37" s="485">
        <f>O41</f>
        <v>2430</v>
      </c>
      <c r="W37" s="132" t="s">
        <v>212</v>
      </c>
    </row>
    <row r="38" spans="1:23" ht="21.75" customHeight="1" outlineLevel="1" x14ac:dyDescent="0.25">
      <c r="A38" s="383"/>
      <c r="B38" s="377"/>
      <c r="C38" s="64"/>
      <c r="D38" s="379"/>
      <c r="E38" s="379"/>
      <c r="F38" s="61">
        <v>2022</v>
      </c>
      <c r="G38" s="134">
        <v>1</v>
      </c>
      <c r="H38" s="67" t="s">
        <v>81</v>
      </c>
      <c r="I38" s="134">
        <v>1</v>
      </c>
      <c r="J38" s="67" t="s">
        <v>255</v>
      </c>
      <c r="K38" s="134">
        <v>2045.34</v>
      </c>
      <c r="L38" s="67" t="s">
        <v>41</v>
      </c>
      <c r="M38" s="134">
        <f>ROUND((G38*I38*K38),0)</f>
        <v>2045</v>
      </c>
      <c r="N38" s="67" t="s">
        <v>37</v>
      </c>
      <c r="O38" s="70">
        <f>ROUNDUP((M38),-1)</f>
        <v>2050</v>
      </c>
      <c r="P38" s="67"/>
      <c r="Q38" s="67"/>
      <c r="R38" s="65"/>
      <c r="S38" s="65"/>
      <c r="T38" s="485"/>
      <c r="U38" s="485"/>
      <c r="V38" s="485"/>
    </row>
    <row r="39" spans="1:23" ht="27" customHeight="1" x14ac:dyDescent="0.25">
      <c r="A39" s="383"/>
      <c r="B39" s="377"/>
      <c r="C39" s="64"/>
      <c r="D39" s="379"/>
      <c r="E39" s="379"/>
      <c r="F39" s="68" t="str">
        <f>F14</f>
        <v>норматив на 2023 год :</v>
      </c>
      <c r="G39" s="134">
        <v>1</v>
      </c>
      <c r="H39" s="67" t="s">
        <v>81</v>
      </c>
      <c r="I39" s="69">
        <v>1</v>
      </c>
      <c r="J39" s="67" t="str">
        <f>J38</f>
        <v xml:space="preserve">раз х средняя цена </v>
      </c>
      <c r="K39" s="129">
        <f>K38*1.0822</f>
        <v>2213.4669480000002</v>
      </c>
      <c r="L39" s="67" t="s">
        <v>41</v>
      </c>
      <c r="M39" s="134">
        <f>ROUND((G39*I39*K39),0)</f>
        <v>2213</v>
      </c>
      <c r="N39" s="71" t="s">
        <v>37</v>
      </c>
      <c r="O39" s="70">
        <f>ROUNDUP((M39),-1)</f>
        <v>2220</v>
      </c>
      <c r="P39" s="71" t="s">
        <v>37</v>
      </c>
      <c r="Q39" s="72"/>
      <c r="R39" s="72"/>
      <c r="S39" s="65"/>
      <c r="T39" s="485"/>
      <c r="U39" s="485"/>
      <c r="V39" s="485"/>
      <c r="W39" s="132" t="str">
        <f>""&amp;TEXT(G39,"0,0")&amp;" авт. х "&amp;TEXT(I39,"0,0")&amp;" раз. х  "&amp;TEXT((K39),"000,00")&amp;" руб. = "&amp;TEXT((M39),"0 000,00")&amp;" руб. = "&amp;TEXT(O39,"0 000,00")&amp;" руб."</f>
        <v>1,0 авт. х 1,0 раз. х  2213,47 руб. = 2 213,00 руб. = 2 220,00 руб.</v>
      </c>
    </row>
    <row r="40" spans="1:23" ht="27" customHeight="1" x14ac:dyDescent="0.25">
      <c r="A40" s="383"/>
      <c r="B40" s="377"/>
      <c r="C40" s="64"/>
      <c r="D40" s="379"/>
      <c r="E40" s="379"/>
      <c r="F40" s="68" t="str">
        <f t="shared" ref="F40:F41" si="7">F15</f>
        <v>норматив на 2024 год :</v>
      </c>
      <c r="G40" s="134">
        <v>1</v>
      </c>
      <c r="H40" s="67" t="s">
        <v>81</v>
      </c>
      <c r="I40" s="69">
        <v>1</v>
      </c>
      <c r="J40" s="67" t="str">
        <f>J38</f>
        <v xml:space="preserve">раз х средняя цена </v>
      </c>
      <c r="K40" s="129">
        <f>K39*1.0487</f>
        <v>2321.2627883676</v>
      </c>
      <c r="L40" s="67" t="s">
        <v>41</v>
      </c>
      <c r="M40" s="134">
        <f>ROUND((G40*I40*K40),0)</f>
        <v>2321</v>
      </c>
      <c r="N40" s="71" t="s">
        <v>37</v>
      </c>
      <c r="O40" s="70">
        <f>ROUNDUP((M40),-1)</f>
        <v>2330</v>
      </c>
      <c r="P40" s="71" t="s">
        <v>37</v>
      </c>
      <c r="Q40" s="72"/>
      <c r="R40" s="72"/>
      <c r="S40" s="65"/>
      <c r="T40" s="485"/>
      <c r="U40" s="485"/>
      <c r="V40" s="485"/>
      <c r="W40" s="132" t="str">
        <f>""&amp;TEXT(G40,"0,0")&amp;" авт. х "&amp;TEXT(I40,"0,0")&amp;" раз. х  "&amp;TEXT((K40),"000,00")&amp;" руб. = "&amp;TEXT((M40),"0 000,00")&amp;" руб. = "&amp;TEXT(O40,"0 000,00")&amp;" руб."</f>
        <v>1,0 авт. х 1,0 раз. х  2321,26 руб. = 2 321,00 руб. = 2 330,00 руб.</v>
      </c>
    </row>
    <row r="41" spans="1:23" ht="27" customHeight="1" x14ac:dyDescent="0.25">
      <c r="A41" s="383"/>
      <c r="B41" s="377"/>
      <c r="C41" s="64"/>
      <c r="D41" s="379"/>
      <c r="E41" s="379"/>
      <c r="F41" s="68" t="str">
        <f t="shared" si="7"/>
        <v>норматив на 2025 год :</v>
      </c>
      <c r="G41" s="134">
        <v>1</v>
      </c>
      <c r="H41" s="67" t="s">
        <v>81</v>
      </c>
      <c r="I41" s="69">
        <v>1</v>
      </c>
      <c r="J41" s="67" t="str">
        <f>J38</f>
        <v xml:space="preserve">раз х средняя цена </v>
      </c>
      <c r="K41" s="129">
        <f>K40*1.0457</f>
        <v>2427.3444977959994</v>
      </c>
      <c r="L41" s="67" t="s">
        <v>41</v>
      </c>
      <c r="M41" s="134">
        <f>ROUND((G41*I41*K41),0)</f>
        <v>2427</v>
      </c>
      <c r="N41" s="71" t="s">
        <v>37</v>
      </c>
      <c r="O41" s="70">
        <f>ROUNDUP((M41),-1)</f>
        <v>2430</v>
      </c>
      <c r="P41" s="71" t="s">
        <v>37</v>
      </c>
      <c r="Q41" s="70"/>
      <c r="R41" s="71"/>
      <c r="S41" s="65"/>
      <c r="T41" s="486"/>
      <c r="U41" s="486"/>
      <c r="V41" s="486"/>
      <c r="W41" s="132" t="str">
        <f>""&amp;TEXT(G41,"0,0")&amp;" авт. х "&amp;TEXT(I41,"0,0")&amp;" раз. х  "&amp;TEXT((K41),"000,00")&amp;" руб. = "&amp;TEXT((M41),"0 000,00")&amp;" руб. = "&amp;TEXT(O41,"0 000,00")&amp;" руб."</f>
        <v>1,0 авт. х 1,0 раз. х  2427,34 руб. = 2 427,00 руб. = 2 430,00 руб.</v>
      </c>
    </row>
    <row r="42" spans="1:23" ht="77.25" customHeight="1" x14ac:dyDescent="0.25">
      <c r="A42" s="242" t="s">
        <v>11</v>
      </c>
      <c r="B42" s="260" t="s">
        <v>115</v>
      </c>
      <c r="C42" s="52"/>
      <c r="D42" s="244" t="s">
        <v>35</v>
      </c>
      <c r="E42" s="244" t="s">
        <v>35</v>
      </c>
      <c r="F42" s="423"/>
      <c r="G42" s="424"/>
      <c r="H42" s="424"/>
      <c r="I42" s="424"/>
      <c r="J42" s="424"/>
      <c r="K42" s="424"/>
      <c r="L42" s="424"/>
      <c r="M42" s="424"/>
      <c r="N42" s="424"/>
      <c r="O42" s="424"/>
      <c r="P42" s="424"/>
      <c r="Q42" s="424"/>
      <c r="R42" s="424"/>
      <c r="S42" s="424"/>
      <c r="T42" s="252">
        <f>SUM(T43,T48,T53,T59)</f>
        <v>218870</v>
      </c>
      <c r="U42" s="252">
        <f t="shared" ref="U42:V42" si="8">SUM(U43,U48,U53,U59)</f>
        <v>229520</v>
      </c>
      <c r="V42" s="252">
        <f t="shared" si="8"/>
        <v>240010</v>
      </c>
      <c r="W42" s="132" t="str">
        <f>"Нормативные "&amp;TEXT(B42,"0")&amp;" включают в себя:
нормативные "&amp;TEXT(B48,"0")&amp;";
нормативные "&amp;TEXT(B53,"0")&amp;";
нормативные "&amp;TEXT(B59,"0")&amp;""</f>
        <v>Нормативные затраты на техническое обслуживание и регламентно-профилактический ремонт иного оборудования включают в себя:
нормативные затраты по ремонту систем кондиционирования;
нормативные затраты по техническому обслуживанию и регламентно-профилактический ремонту комплексных систем обеспечения безопасности;
нормативные затраты по техническому обслуживанию счетчика банкнот</v>
      </c>
    </row>
    <row r="43" spans="1:23" s="75" customFormat="1" ht="135.75" customHeight="1" x14ac:dyDescent="0.25">
      <c r="A43" s="383" t="s">
        <v>127</v>
      </c>
      <c r="B43" s="376" t="s">
        <v>233</v>
      </c>
      <c r="C43" s="56"/>
      <c r="D43" s="378">
        <v>225</v>
      </c>
      <c r="E43" s="378">
        <v>244</v>
      </c>
      <c r="F43" s="380" t="s">
        <v>244</v>
      </c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134"/>
      <c r="T43" s="485">
        <f>O45</f>
        <v>162340</v>
      </c>
      <c r="U43" s="485">
        <f>O46</f>
        <v>170240</v>
      </c>
      <c r="V43" s="485">
        <f>O47</f>
        <v>178020</v>
      </c>
      <c r="W43" s="132" t="s">
        <v>84</v>
      </c>
    </row>
    <row r="44" spans="1:23" ht="15" customHeight="1" outlineLevel="1" x14ac:dyDescent="0.25">
      <c r="A44" s="383"/>
      <c r="B44" s="377"/>
      <c r="C44" s="64"/>
      <c r="D44" s="379"/>
      <c r="E44" s="384"/>
      <c r="F44" s="76"/>
      <c r="G44" s="134"/>
      <c r="H44" s="67" t="s">
        <v>77</v>
      </c>
      <c r="I44" s="134">
        <v>1</v>
      </c>
      <c r="J44" s="67" t="s">
        <v>67</v>
      </c>
      <c r="K44" s="134"/>
      <c r="L44" s="67" t="s">
        <v>41</v>
      </c>
      <c r="M44" s="134"/>
      <c r="N44" s="67" t="s">
        <v>37</v>
      </c>
      <c r="P44" s="77" t="s">
        <v>145</v>
      </c>
      <c r="Q44" s="78"/>
      <c r="R44" s="61"/>
      <c r="S44" s="65"/>
      <c r="T44" s="485"/>
      <c r="U44" s="485"/>
      <c r="V44" s="485"/>
      <c r="W44" s="132"/>
    </row>
    <row r="45" spans="1:23" ht="28.5" customHeight="1" x14ac:dyDescent="0.25">
      <c r="A45" s="383"/>
      <c r="B45" s="377"/>
      <c r="C45" s="64"/>
      <c r="D45" s="379"/>
      <c r="E45" s="384"/>
      <c r="F45" s="68" t="str">
        <f>F14</f>
        <v>норматив на 2023 год :</v>
      </c>
      <c r="G45" s="134">
        <v>26</v>
      </c>
      <c r="H45" s="67" t="s">
        <v>77</v>
      </c>
      <c r="I45" s="69">
        <v>1</v>
      </c>
      <c r="J45" s="67" t="s">
        <v>67</v>
      </c>
      <c r="K45" s="70">
        <v>6243.6</v>
      </c>
      <c r="L45" s="67" t="s">
        <v>41</v>
      </c>
      <c r="M45" s="134">
        <f>ROUND((G45*I45*K45),0)</f>
        <v>162334</v>
      </c>
      <c r="N45" s="67" t="s">
        <v>37</v>
      </c>
      <c r="O45" s="70">
        <f>ROUNDUP((M45),-1)</f>
        <v>162340</v>
      </c>
      <c r="P45" s="71" t="s">
        <v>37</v>
      </c>
      <c r="Q45" s="72"/>
      <c r="R45" s="61"/>
      <c r="S45" s="72"/>
      <c r="T45" s="485"/>
      <c r="U45" s="485"/>
      <c r="V45" s="485"/>
      <c r="W45" s="132" t="str">
        <f>""&amp;TEXT(G45,"0,0")&amp;" шт. х "&amp;TEXT(I45,"0,0")&amp;" раз. х  "&amp;TEXT((K45),"000,00")&amp;" руб. = "&amp;TEXT((M45),"0 000,00")&amp;" руб. = "&amp;TEXT(O45,"0 000,00")&amp;" руб."</f>
        <v>26,0 шт. х 1,0 раз. х  6243,60 руб. = 162 334,00 руб. = 162 340,00 руб.</v>
      </c>
    </row>
    <row r="46" spans="1:23" ht="28.5" customHeight="1" x14ac:dyDescent="0.25">
      <c r="A46" s="383"/>
      <c r="B46" s="377"/>
      <c r="C46" s="64"/>
      <c r="D46" s="379"/>
      <c r="E46" s="384"/>
      <c r="F46" s="68" t="str">
        <f t="shared" ref="F46:F47" si="9">F15</f>
        <v>норматив на 2024 год :</v>
      </c>
      <c r="G46" s="134">
        <v>26</v>
      </c>
      <c r="H46" s="67" t="s">
        <v>77</v>
      </c>
      <c r="I46" s="69">
        <v>1</v>
      </c>
      <c r="J46" s="67" t="s">
        <v>67</v>
      </c>
      <c r="K46" s="135">
        <f>K45*1.0487</f>
        <v>6547.6633200000006</v>
      </c>
      <c r="L46" s="67" t="s">
        <v>41</v>
      </c>
      <c r="M46" s="134">
        <f>ROUND((G46*I46*K46),0)</f>
        <v>170239</v>
      </c>
      <c r="N46" s="67" t="s">
        <v>37</v>
      </c>
      <c r="O46" s="70">
        <f>ROUNDUP((M46),-1)</f>
        <v>170240</v>
      </c>
      <c r="P46" s="71" t="s">
        <v>37</v>
      </c>
      <c r="Q46" s="72"/>
      <c r="R46" s="61"/>
      <c r="S46" s="72"/>
      <c r="T46" s="485"/>
      <c r="U46" s="485"/>
      <c r="V46" s="485"/>
      <c r="W46" s="132" t="str">
        <f t="shared" ref="W46:W47" si="10">""&amp;TEXT(G46,"0,0")&amp;" шт. х "&amp;TEXT(I46,"0,0")&amp;" раз. х  "&amp;TEXT((K46),"000,00")&amp;" руб. = "&amp;TEXT((M46),"0 000,00")&amp;" руб. = "&amp;TEXT(O46,"0 000,00")&amp;" руб."</f>
        <v>26,0 шт. х 1,0 раз. х  6547,66 руб. = 170 239,00 руб. = 170 240,00 руб.</v>
      </c>
    </row>
    <row r="47" spans="1:23" ht="28.5" customHeight="1" x14ac:dyDescent="0.25">
      <c r="A47" s="383"/>
      <c r="B47" s="377"/>
      <c r="C47" s="64"/>
      <c r="D47" s="379"/>
      <c r="E47" s="384"/>
      <c r="F47" s="68" t="str">
        <f t="shared" si="9"/>
        <v>норматив на 2025 год :</v>
      </c>
      <c r="G47" s="134">
        <v>26</v>
      </c>
      <c r="H47" s="67" t="s">
        <v>77</v>
      </c>
      <c r="I47" s="69">
        <v>1</v>
      </c>
      <c r="J47" s="67" t="s">
        <v>67</v>
      </c>
      <c r="K47" s="135">
        <f>K46*1.0457</f>
        <v>6846.8915337240014</v>
      </c>
      <c r="L47" s="67" t="s">
        <v>41</v>
      </c>
      <c r="M47" s="134">
        <f>ROUND((G47*I47*K47),0)</f>
        <v>178019</v>
      </c>
      <c r="N47" s="67" t="s">
        <v>37</v>
      </c>
      <c r="O47" s="70">
        <f>ROUNDUP((M47),-1)</f>
        <v>178020</v>
      </c>
      <c r="P47" s="71" t="s">
        <v>37</v>
      </c>
      <c r="Q47" s="70"/>
      <c r="R47" s="61"/>
      <c r="S47" s="71"/>
      <c r="T47" s="486"/>
      <c r="U47" s="486"/>
      <c r="V47" s="486"/>
      <c r="W47" s="132" t="str">
        <f t="shared" si="10"/>
        <v>26,0 шт. х 1,0 раз. х  6846,89 руб. = 178 019,00 руб. = 178 020,00 руб.</v>
      </c>
    </row>
    <row r="48" spans="1:23" s="75" customFormat="1" ht="124.5" customHeight="1" x14ac:dyDescent="0.25">
      <c r="A48" s="383" t="s">
        <v>128</v>
      </c>
      <c r="B48" s="376" t="s">
        <v>217</v>
      </c>
      <c r="C48" s="56"/>
      <c r="D48" s="378">
        <v>225</v>
      </c>
      <c r="E48" s="378">
        <v>244</v>
      </c>
      <c r="F48" s="380" t="s">
        <v>245</v>
      </c>
      <c r="G48" s="380"/>
      <c r="H48" s="380"/>
      <c r="I48" s="380"/>
      <c r="J48" s="380"/>
      <c r="K48" s="380"/>
      <c r="L48" s="380"/>
      <c r="M48" s="380"/>
      <c r="N48" s="380"/>
      <c r="O48" s="380"/>
      <c r="P48" s="380"/>
      <c r="Q48" s="380"/>
      <c r="R48" s="380"/>
      <c r="S48" s="134"/>
      <c r="T48" s="485">
        <f>O50</f>
        <v>12130</v>
      </c>
      <c r="U48" s="485">
        <f>O51</f>
        <v>12720</v>
      </c>
      <c r="V48" s="485">
        <f>O52</f>
        <v>13300</v>
      </c>
      <c r="W48" s="132" t="s">
        <v>218</v>
      </c>
    </row>
    <row r="49" spans="1:24" ht="27.75" customHeight="1" outlineLevel="1" x14ac:dyDescent="0.25">
      <c r="A49" s="383"/>
      <c r="B49" s="377"/>
      <c r="C49" s="64"/>
      <c r="D49" s="379"/>
      <c r="E49" s="384"/>
      <c r="F49" s="76">
        <v>2022</v>
      </c>
      <c r="G49" s="134">
        <v>1</v>
      </c>
      <c r="H49" s="67" t="s">
        <v>258</v>
      </c>
      <c r="I49" s="134">
        <v>1</v>
      </c>
      <c r="J49" s="67" t="s">
        <v>259</v>
      </c>
      <c r="K49" s="134">
        <v>11200</v>
      </c>
      <c r="L49" s="67" t="s">
        <v>41</v>
      </c>
      <c r="M49" s="137">
        <f>ROUND((G49*I49*K49),0)</f>
        <v>11200</v>
      </c>
      <c r="N49" s="67" t="s">
        <v>37</v>
      </c>
      <c r="O49" s="70">
        <f>ROUNDUP((M49),-1)</f>
        <v>11200</v>
      </c>
      <c r="P49" s="71" t="s">
        <v>37</v>
      </c>
      <c r="Q49" s="78"/>
      <c r="R49" s="61"/>
      <c r="S49" s="65"/>
      <c r="T49" s="485"/>
      <c r="U49" s="485"/>
      <c r="V49" s="485"/>
      <c r="W49" s="132"/>
    </row>
    <row r="50" spans="1:24" ht="32.25" customHeight="1" x14ac:dyDescent="0.25">
      <c r="A50" s="383"/>
      <c r="B50" s="377"/>
      <c r="C50" s="64"/>
      <c r="D50" s="379"/>
      <c r="E50" s="384"/>
      <c r="F50" s="68" t="str">
        <f>F14</f>
        <v>норматив на 2023 год :</v>
      </c>
      <c r="G50" s="134">
        <v>1</v>
      </c>
      <c r="H50" s="67" t="s">
        <v>258</v>
      </c>
      <c r="I50" s="69">
        <v>1</v>
      </c>
      <c r="J50" s="67" t="s">
        <v>259</v>
      </c>
      <c r="K50" s="134">
        <f>K49*1.0822</f>
        <v>12120.640000000001</v>
      </c>
      <c r="L50" s="67" t="s">
        <v>41</v>
      </c>
      <c r="M50" s="134">
        <f>ROUND((G50*I50*K50),0)</f>
        <v>12121</v>
      </c>
      <c r="N50" s="71" t="s">
        <v>37</v>
      </c>
      <c r="O50" s="70">
        <f>ROUNDUP((M50),-1)</f>
        <v>12130</v>
      </c>
      <c r="P50" s="71" t="s">
        <v>37</v>
      </c>
      <c r="Q50" s="72"/>
      <c r="R50" s="72"/>
      <c r="S50" s="65"/>
      <c r="T50" s="485"/>
      <c r="U50" s="485"/>
      <c r="V50" s="485"/>
      <c r="W50" s="132" t="str">
        <f>""&amp;TEXT(G50,"0,0")&amp;" раз х "&amp;TEXT(I50,"0,0")&amp;" у.ед. х  "&amp;TEXT((K50),"000,00")&amp;" руб. = "&amp;TEXT((M50),"0 000,00")&amp;" руб. = "&amp;TEXT(O50,"0 000,00")&amp;" руб."</f>
        <v>1,0 раз х 1,0 у.ед. х  12120,64 руб. = 12 121,00 руб. = 12 130,00 руб.</v>
      </c>
    </row>
    <row r="51" spans="1:24" ht="24" customHeight="1" x14ac:dyDescent="0.25">
      <c r="A51" s="383"/>
      <c r="B51" s="377"/>
      <c r="C51" s="64"/>
      <c r="D51" s="379"/>
      <c r="E51" s="384"/>
      <c r="F51" s="68" t="str">
        <f t="shared" ref="F51:F52" si="11">F15</f>
        <v>норматив на 2024 год :</v>
      </c>
      <c r="G51" s="134">
        <v>1</v>
      </c>
      <c r="H51" s="67" t="s">
        <v>258</v>
      </c>
      <c r="I51" s="69">
        <v>1</v>
      </c>
      <c r="J51" s="67" t="s">
        <v>259</v>
      </c>
      <c r="K51" s="129">
        <f>K50*1.0487</f>
        <v>12710.915168000001</v>
      </c>
      <c r="L51" s="67" t="s">
        <v>41</v>
      </c>
      <c r="M51" s="134">
        <f>ROUND((G51*I51*K51),0)</f>
        <v>12711</v>
      </c>
      <c r="N51" s="71" t="s">
        <v>37</v>
      </c>
      <c r="O51" s="70">
        <f>ROUNDUP((M51),-1)</f>
        <v>12720</v>
      </c>
      <c r="P51" s="71" t="s">
        <v>37</v>
      </c>
      <c r="Q51" s="72"/>
      <c r="R51" s="72"/>
      <c r="S51" s="65"/>
      <c r="T51" s="485"/>
      <c r="U51" s="485"/>
      <c r="V51" s="485"/>
      <c r="W51" s="132" t="str">
        <f>""&amp;TEXT(G51,"0,0")&amp;" раз х "&amp;TEXT(I51,"0,0")&amp;" у.ед. х  "&amp;TEXT((K51),"000,00")&amp;" руб. = "&amp;TEXT((M51),"0 000,00")&amp;" руб. = "&amp;TEXT(O51,"0 000,00")&amp;" руб."</f>
        <v>1,0 раз х 1,0 у.ед. х  12710,92 руб. = 12 711,00 руб. = 12 720,00 руб.</v>
      </c>
    </row>
    <row r="52" spans="1:24" ht="28.5" customHeight="1" x14ac:dyDescent="0.25">
      <c r="A52" s="383"/>
      <c r="B52" s="377"/>
      <c r="C52" s="64"/>
      <c r="D52" s="379"/>
      <c r="E52" s="384"/>
      <c r="F52" s="68" t="str">
        <f t="shared" si="11"/>
        <v>норматив на 2025 год :</v>
      </c>
      <c r="G52" s="134">
        <v>1</v>
      </c>
      <c r="H52" s="67" t="s">
        <v>258</v>
      </c>
      <c r="I52" s="69">
        <v>1</v>
      </c>
      <c r="J52" s="67" t="s">
        <v>259</v>
      </c>
      <c r="K52" s="129">
        <f>K51*1.0457</f>
        <v>13291.803991177603</v>
      </c>
      <c r="L52" s="67" t="s">
        <v>41</v>
      </c>
      <c r="M52" s="134">
        <f>ROUND((G52*I52*K52),0)</f>
        <v>13292</v>
      </c>
      <c r="N52" s="71" t="s">
        <v>37</v>
      </c>
      <c r="O52" s="70">
        <f>ROUNDUP((M52),-1)</f>
        <v>13300</v>
      </c>
      <c r="P52" s="71" t="s">
        <v>37</v>
      </c>
      <c r="Q52" s="70"/>
      <c r="R52" s="71"/>
      <c r="S52" s="65"/>
      <c r="T52" s="486"/>
      <c r="U52" s="486"/>
      <c r="V52" s="486"/>
      <c r="W52" s="132" t="str">
        <f>""&amp;TEXT(G52,"0,0")&amp;" раз х "&amp;TEXT(I52,"0,0")&amp;" у.ед. х  "&amp;TEXT((K52),"000,00")&amp;" руб. = "&amp;TEXT((M52),"0 000,00")&amp;" руб. = "&amp;TEXT(O52,"0 000,00")&amp;" руб."</f>
        <v>1,0 раз х 1,0 у.ед. х  13291,80 руб. = 13 292,00 руб. = 13 300,00 руб.</v>
      </c>
    </row>
    <row r="53" spans="1:24" ht="84.75" customHeight="1" x14ac:dyDescent="0.25">
      <c r="A53" s="241" t="s">
        <v>129</v>
      </c>
      <c r="B53" s="258" t="s">
        <v>110</v>
      </c>
      <c r="C53" s="52"/>
      <c r="D53" s="244" t="s">
        <v>35</v>
      </c>
      <c r="E53" s="244" t="s">
        <v>35</v>
      </c>
      <c r="F53" s="423"/>
      <c r="G53" s="424"/>
      <c r="H53" s="424"/>
      <c r="I53" s="424"/>
      <c r="J53" s="424"/>
      <c r="K53" s="424"/>
      <c r="L53" s="424"/>
      <c r="M53" s="424"/>
      <c r="N53" s="424"/>
      <c r="O53" s="424"/>
      <c r="P53" s="424"/>
      <c r="Q53" s="424"/>
      <c r="R53" s="424"/>
      <c r="S53" s="424"/>
      <c r="T53" s="253">
        <f>SUM(T54)</f>
        <v>37990</v>
      </c>
      <c r="U53" s="253">
        <f>SUM(U54)</f>
        <v>39840</v>
      </c>
      <c r="V53" s="253">
        <f>SUM(V54)</f>
        <v>41660</v>
      </c>
      <c r="W53" s="132" t="str">
        <f>"Нормативные "&amp;TEXT(B53,"0")&amp;" включают в себя:
нормативные "&amp;TEXT(B54,"0")&amp;""</f>
        <v>Нормативные затраты по техническому обслуживанию и регламентно-профилактический ремонту комплексных систем обеспечения безопасности включают в себя:
нормативные затраты по техническому обслуживанию охранно-тревожной сигнализации</v>
      </c>
    </row>
    <row r="54" spans="1:24" ht="134.25" customHeight="1" x14ac:dyDescent="0.25">
      <c r="A54" s="383" t="s">
        <v>221</v>
      </c>
      <c r="B54" s="376" t="s">
        <v>111</v>
      </c>
      <c r="C54" s="64"/>
      <c r="D54" s="378">
        <v>225</v>
      </c>
      <c r="E54" s="378">
        <v>244</v>
      </c>
      <c r="F54" s="380" t="s">
        <v>245</v>
      </c>
      <c r="G54" s="380"/>
      <c r="H54" s="380"/>
      <c r="I54" s="380"/>
      <c r="J54" s="380"/>
      <c r="K54" s="380"/>
      <c r="L54" s="380"/>
      <c r="M54" s="380"/>
      <c r="N54" s="380"/>
      <c r="O54" s="380"/>
      <c r="P54" s="380"/>
      <c r="Q54" s="380"/>
      <c r="R54" s="380"/>
      <c r="S54" s="65"/>
      <c r="T54" s="485">
        <f>O56</f>
        <v>37990</v>
      </c>
      <c r="U54" s="485">
        <f>O57</f>
        <v>39840</v>
      </c>
      <c r="V54" s="485">
        <f>O58</f>
        <v>41660</v>
      </c>
      <c r="W54" s="132" t="s">
        <v>176</v>
      </c>
    </row>
    <row r="55" spans="1:24" ht="19.5" customHeight="1" outlineLevel="1" x14ac:dyDescent="0.25">
      <c r="A55" s="383"/>
      <c r="B55" s="377"/>
      <c r="C55" s="64"/>
      <c r="D55" s="379"/>
      <c r="E55" s="384"/>
      <c r="F55" s="61">
        <v>2022</v>
      </c>
      <c r="G55" s="134">
        <v>1</v>
      </c>
      <c r="H55" s="67" t="s">
        <v>70</v>
      </c>
      <c r="I55" s="134">
        <v>12</v>
      </c>
      <c r="J55" s="67" t="s">
        <v>73</v>
      </c>
      <c r="K55" s="134">
        <v>2925</v>
      </c>
      <c r="L55" s="67" t="s">
        <v>41</v>
      </c>
      <c r="M55" s="134">
        <f>ROUND((G55*I55*K55),2)</f>
        <v>35100</v>
      </c>
      <c r="N55" s="67" t="s">
        <v>37</v>
      </c>
      <c r="O55" s="67"/>
      <c r="P55" s="67"/>
      <c r="Q55" s="67"/>
      <c r="R55" s="65"/>
      <c r="S55" s="65"/>
      <c r="T55" s="485"/>
      <c r="U55" s="485"/>
      <c r="V55" s="485"/>
      <c r="W55" s="132"/>
    </row>
    <row r="56" spans="1:24" ht="21" customHeight="1" x14ac:dyDescent="0.25">
      <c r="A56" s="383"/>
      <c r="B56" s="377"/>
      <c r="C56" s="64"/>
      <c r="D56" s="379"/>
      <c r="E56" s="384"/>
      <c r="F56" s="68" t="str">
        <f>F14</f>
        <v>норматив на 2023 год :</v>
      </c>
      <c r="G56" s="134">
        <v>1</v>
      </c>
      <c r="H56" s="65" t="s">
        <v>234</v>
      </c>
      <c r="I56" s="140">
        <v>12</v>
      </c>
      <c r="J56" s="67" t="s">
        <v>25</v>
      </c>
      <c r="K56" s="134">
        <f>K55*1.0822</f>
        <v>3165.4349999999999</v>
      </c>
      <c r="L56" s="67" t="s">
        <v>41</v>
      </c>
      <c r="M56" s="134">
        <f>ROUND((G56*I56*K56),0)</f>
        <v>37985</v>
      </c>
      <c r="N56" s="71" t="s">
        <v>37</v>
      </c>
      <c r="O56" s="70">
        <f>ROUNDUP((M56),-1)</f>
        <v>37990</v>
      </c>
      <c r="P56" s="71" t="s">
        <v>37</v>
      </c>
      <c r="Q56" s="72"/>
      <c r="R56" s="72"/>
      <c r="S56" s="65"/>
      <c r="T56" s="485"/>
      <c r="U56" s="485"/>
      <c r="V56" s="485"/>
      <c r="W56" s="132" t="str">
        <f>""&amp;TEXT(G56,"0,0")&amp;" шт. х "&amp;TEXT(I56,"0,0")&amp;" мес. х "&amp;TEXT(ROUND((K56),2),"0 000,00")&amp;" руб. = "&amp;TEXT(ROUND(((M56)),2),"0 000,00")&amp;" руб. = "&amp;TEXT(O56,"0 000,00")&amp;" руб."</f>
        <v>1,0 шт. х 12,0 мес. х 3 165,44 руб. = 37 985,00 руб. = 37 990,00 руб.</v>
      </c>
    </row>
    <row r="57" spans="1:24" ht="21" customHeight="1" x14ac:dyDescent="0.25">
      <c r="A57" s="383"/>
      <c r="B57" s="377"/>
      <c r="C57" s="64"/>
      <c r="D57" s="379"/>
      <c r="E57" s="384"/>
      <c r="F57" s="68" t="str">
        <f t="shared" ref="F57:F58" si="12">F15</f>
        <v>норматив на 2024 год :</v>
      </c>
      <c r="G57" s="134">
        <v>1</v>
      </c>
      <c r="H57" s="67" t="str">
        <f>H56</f>
        <v>руб. х мес.</v>
      </c>
      <c r="I57" s="140">
        <f>$I$56</f>
        <v>12</v>
      </c>
      <c r="J57" s="67" t="s">
        <v>25</v>
      </c>
      <c r="K57" s="129">
        <f>K56*1.0487</f>
        <v>3319.5916844999997</v>
      </c>
      <c r="L57" s="67" t="s">
        <v>41</v>
      </c>
      <c r="M57" s="134">
        <f>ROUND((G57*I57*K57),0)</f>
        <v>39835</v>
      </c>
      <c r="N57" s="71" t="s">
        <v>37</v>
      </c>
      <c r="O57" s="70">
        <f>ROUNDUP((M57),-1)</f>
        <v>39840</v>
      </c>
      <c r="P57" s="71" t="s">
        <v>37</v>
      </c>
      <c r="Q57" s="72"/>
      <c r="R57" s="72"/>
      <c r="S57" s="65"/>
      <c r="T57" s="485"/>
      <c r="U57" s="485"/>
      <c r="V57" s="485"/>
      <c r="W57" s="132" t="str">
        <f>""&amp;TEXT(G57,"0,0")&amp;" шт. х "&amp;TEXT(I57,"0,0")&amp;" мес. х "&amp;TEXT(ROUND((K57),2),"0 000,00")&amp;" руб. = "&amp;TEXT(ROUND(((M57)),2),"0 000,00")&amp;" руб. = "&amp;TEXT(O57,"0 000,00")&amp;" руб."</f>
        <v>1,0 шт. х 12,0 мес. х 3 319,59 руб. = 39 835,00 руб. = 39 840,00 руб.</v>
      </c>
    </row>
    <row r="58" spans="1:24" ht="21" customHeight="1" x14ac:dyDescent="0.25">
      <c r="A58" s="383"/>
      <c r="B58" s="377"/>
      <c r="C58" s="64"/>
      <c r="D58" s="379"/>
      <c r="E58" s="384"/>
      <c r="F58" s="68" t="str">
        <f t="shared" si="12"/>
        <v>норматив на 2025 год :</v>
      </c>
      <c r="G58" s="134">
        <f>G57</f>
        <v>1</v>
      </c>
      <c r="H58" s="67" t="str">
        <f>H56</f>
        <v>руб. х мес.</v>
      </c>
      <c r="I58" s="140">
        <f>$I$56</f>
        <v>12</v>
      </c>
      <c r="J58" s="67" t="s">
        <v>25</v>
      </c>
      <c r="K58" s="129">
        <f>K57*1.0457</f>
        <v>3471.2970244816497</v>
      </c>
      <c r="L58" s="67" t="s">
        <v>41</v>
      </c>
      <c r="M58" s="134">
        <f>ROUND((G58*I58*K58),0)</f>
        <v>41656</v>
      </c>
      <c r="N58" s="71" t="s">
        <v>37</v>
      </c>
      <c r="O58" s="70">
        <f>ROUNDUP((M58),-1)</f>
        <v>41660</v>
      </c>
      <c r="P58" s="71" t="s">
        <v>37</v>
      </c>
      <c r="Q58" s="70"/>
      <c r="R58" s="71"/>
      <c r="S58" s="65"/>
      <c r="T58" s="486"/>
      <c r="U58" s="486"/>
      <c r="V58" s="486"/>
      <c r="W58" s="132" t="str">
        <f>""&amp;TEXT(G58,"0,0")&amp;" шт. х "&amp;TEXT(I58,"0,0")&amp;" мес. х "&amp;TEXT(ROUND((K58),2),"0 000,00")&amp;" руб. = "&amp;TEXT(ROUND(((M58)),2),"0 000,00")&amp;" руб. = "&amp;TEXT(O58,"0 000,00")&amp;" руб."</f>
        <v>1,0 шт. х 12,0 мес. х 3 471,30 руб. = 41 656,00 руб. = 41 660,00 руб.</v>
      </c>
    </row>
    <row r="59" spans="1:24" ht="134.25" customHeight="1" x14ac:dyDescent="0.25">
      <c r="A59" s="383" t="s">
        <v>222</v>
      </c>
      <c r="B59" s="376" t="s">
        <v>116</v>
      </c>
      <c r="C59" s="64"/>
      <c r="D59" s="378">
        <v>225</v>
      </c>
      <c r="E59" s="378">
        <v>244</v>
      </c>
      <c r="F59" s="380" t="s">
        <v>245</v>
      </c>
      <c r="G59" s="380"/>
      <c r="H59" s="380"/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65"/>
      <c r="T59" s="485">
        <f>O61</f>
        <v>6410</v>
      </c>
      <c r="U59" s="485">
        <f>O62</f>
        <v>6720</v>
      </c>
      <c r="V59" s="485">
        <f>O63</f>
        <v>7030</v>
      </c>
      <c r="W59" s="132" t="s">
        <v>85</v>
      </c>
    </row>
    <row r="60" spans="1:24" ht="21.75" customHeight="1" outlineLevel="1" x14ac:dyDescent="0.25">
      <c r="A60" s="383"/>
      <c r="B60" s="377"/>
      <c r="C60" s="64"/>
      <c r="D60" s="379"/>
      <c r="E60" s="384"/>
      <c r="F60" s="61">
        <v>2022</v>
      </c>
      <c r="G60" s="134">
        <v>1</v>
      </c>
      <c r="H60" s="67" t="s">
        <v>77</v>
      </c>
      <c r="I60" s="139">
        <v>4</v>
      </c>
      <c r="J60" s="67" t="s">
        <v>67</v>
      </c>
      <c r="K60" s="134">
        <v>1479.08</v>
      </c>
      <c r="L60" s="67" t="s">
        <v>41</v>
      </c>
      <c r="M60" s="134">
        <f>ROUND((G60*I60*K60),0)</f>
        <v>5916</v>
      </c>
      <c r="N60" s="67" t="s">
        <v>37</v>
      </c>
      <c r="O60" s="70">
        <f>ROUNDUP((M60),-1)</f>
        <v>5920</v>
      </c>
      <c r="P60" s="71" t="s">
        <v>37</v>
      </c>
      <c r="Q60" s="67"/>
      <c r="R60" s="65"/>
      <c r="S60" s="65"/>
      <c r="T60" s="485"/>
      <c r="U60" s="485"/>
      <c r="V60" s="485"/>
      <c r="W60" s="132"/>
    </row>
    <row r="61" spans="1:24" ht="22.5" customHeight="1" x14ac:dyDescent="0.25">
      <c r="A61" s="383"/>
      <c r="B61" s="377"/>
      <c r="C61" s="64"/>
      <c r="D61" s="379"/>
      <c r="E61" s="384"/>
      <c r="F61" s="68" t="str">
        <f>F14</f>
        <v>норматив на 2023 год :</v>
      </c>
      <c r="G61" s="134">
        <v>1</v>
      </c>
      <c r="H61" s="67" t="s">
        <v>77</v>
      </c>
      <c r="I61" s="139">
        <v>4</v>
      </c>
      <c r="J61" s="67" t="s">
        <v>67</v>
      </c>
      <c r="K61" s="129">
        <f>K60*1.0822</f>
        <v>1600.660376</v>
      </c>
      <c r="L61" s="67" t="s">
        <v>41</v>
      </c>
      <c r="M61" s="137">
        <f t="shared" ref="M61:M63" si="13">ROUND((G61*I61*K61),0)</f>
        <v>6403</v>
      </c>
      <c r="N61" s="71" t="s">
        <v>37</v>
      </c>
      <c r="O61" s="70">
        <f t="shared" ref="O61:O63" si="14">ROUNDUP((M61),-1)</f>
        <v>6410</v>
      </c>
      <c r="P61" s="71" t="s">
        <v>37</v>
      </c>
      <c r="Q61" s="70"/>
      <c r="R61" s="71"/>
      <c r="S61" s="65"/>
      <c r="T61" s="485"/>
      <c r="U61" s="485"/>
      <c r="V61" s="485"/>
      <c r="W61" s="132" t="str">
        <f>""&amp;TEXT(G61,"0,0")&amp;" шт. х "&amp;TEXT(I61,"0,0")&amp;" раза х "&amp;TEXT(ROUND((K61),2),"0 000,00")&amp;" руб. = "&amp;TEXT(ROUND(((M61)),2),"0 000,00")&amp;" руб. = "&amp;TEXT(O61,"0 000,00")&amp;" руб."</f>
        <v>1,0 шт. х 4,0 раза х 1 600,66 руб. = 6 403,00 руб. = 6 410,00 руб.</v>
      </c>
    </row>
    <row r="62" spans="1:24" ht="21.75" customHeight="1" x14ac:dyDescent="0.25">
      <c r="A62" s="383"/>
      <c r="B62" s="377"/>
      <c r="C62" s="64"/>
      <c r="D62" s="379"/>
      <c r="E62" s="384"/>
      <c r="F62" s="68" t="str">
        <f t="shared" ref="F62:F63" si="15">F15</f>
        <v>норматив на 2024 год :</v>
      </c>
      <c r="G62" s="134">
        <v>1</v>
      </c>
      <c r="H62" s="67" t="s">
        <v>77</v>
      </c>
      <c r="I62" s="139">
        <v>4</v>
      </c>
      <c r="J62" s="67" t="s">
        <v>67</v>
      </c>
      <c r="K62" s="129">
        <f>K61*1.0487</f>
        <v>1678.6125363112001</v>
      </c>
      <c r="L62" s="67" t="s">
        <v>41</v>
      </c>
      <c r="M62" s="137">
        <f t="shared" si="13"/>
        <v>6714</v>
      </c>
      <c r="N62" s="71" t="s">
        <v>37</v>
      </c>
      <c r="O62" s="70">
        <f t="shared" si="14"/>
        <v>6720</v>
      </c>
      <c r="P62" s="71" t="s">
        <v>37</v>
      </c>
      <c r="Q62" s="70"/>
      <c r="R62" s="71"/>
      <c r="S62" s="65"/>
      <c r="T62" s="485"/>
      <c r="U62" s="485"/>
      <c r="V62" s="485"/>
      <c r="W62" s="132" t="str">
        <f t="shared" ref="W62:W63" si="16">""&amp;TEXT(G62,"0,0")&amp;" шт. х "&amp;TEXT(I62,"0,0")&amp;" раза х "&amp;TEXT(ROUND((K62),2),"0 000,00")&amp;" руб. = "&amp;TEXT(ROUND(((M62)),2),"0 000,00")&amp;" руб. = "&amp;TEXT(O62,"0 000,00")&amp;" руб."</f>
        <v>1,0 шт. х 4,0 раза х 1 678,61 руб. = 6 714,00 руб. = 6 720,00 руб.</v>
      </c>
    </row>
    <row r="63" spans="1:24" ht="22.5" customHeight="1" x14ac:dyDescent="0.25">
      <c r="A63" s="383"/>
      <c r="B63" s="377"/>
      <c r="C63" s="64"/>
      <c r="D63" s="379"/>
      <c r="E63" s="384"/>
      <c r="F63" s="68" t="str">
        <f t="shared" si="15"/>
        <v>норматив на 2025 год :</v>
      </c>
      <c r="G63" s="134">
        <v>1</v>
      </c>
      <c r="H63" s="67" t="s">
        <v>77</v>
      </c>
      <c r="I63" s="139">
        <v>4</v>
      </c>
      <c r="J63" s="67" t="s">
        <v>67</v>
      </c>
      <c r="K63" s="129">
        <f>K62*1.0457</f>
        <v>1755.3251292206221</v>
      </c>
      <c r="L63" s="67" t="s">
        <v>41</v>
      </c>
      <c r="M63" s="137">
        <f t="shared" si="13"/>
        <v>7021</v>
      </c>
      <c r="N63" s="71" t="s">
        <v>37</v>
      </c>
      <c r="O63" s="70">
        <f t="shared" si="14"/>
        <v>7030</v>
      </c>
      <c r="P63" s="71" t="s">
        <v>37</v>
      </c>
      <c r="Q63" s="70"/>
      <c r="R63" s="71"/>
      <c r="S63" s="65"/>
      <c r="T63" s="486"/>
      <c r="U63" s="486"/>
      <c r="V63" s="486"/>
      <c r="W63" s="132" t="str">
        <f t="shared" si="16"/>
        <v>1,0 шт. х 4,0 раза х 1 755,33 руб. = 7 021,00 руб. = 7 030,00 руб.</v>
      </c>
    </row>
    <row r="64" spans="1:24" ht="84.75" customHeight="1" x14ac:dyDescent="0.25">
      <c r="A64" s="242" t="s">
        <v>203</v>
      </c>
      <c r="B64" s="260" t="s">
        <v>204</v>
      </c>
      <c r="C64" s="52"/>
      <c r="D64" s="245" t="s">
        <v>205</v>
      </c>
      <c r="E64" s="245" t="s">
        <v>206</v>
      </c>
      <c r="F64" s="423"/>
      <c r="G64" s="424"/>
      <c r="H64" s="424"/>
      <c r="I64" s="424"/>
      <c r="J64" s="424"/>
      <c r="K64" s="424"/>
      <c r="L64" s="424"/>
      <c r="M64" s="424"/>
      <c r="N64" s="424"/>
      <c r="O64" s="424"/>
      <c r="P64" s="424"/>
      <c r="Q64" s="424"/>
      <c r="R64" s="424"/>
      <c r="S64" s="424"/>
      <c r="T64" s="252">
        <f>T65+T70</f>
        <v>75000</v>
      </c>
      <c r="U64" s="252">
        <f t="shared" ref="U64:V64" si="17">U65+U70</f>
        <v>78650</v>
      </c>
      <c r="V64" s="252">
        <f t="shared" si="17"/>
        <v>82240</v>
      </c>
      <c r="W64" s="132" t="str">
        <f>"Нормативные "&amp;TEXT(B64,"0")&amp;" включают в себя:
нормативные "&amp;TEXT(B65,"0")&amp;",  нормативные "&amp;TEXT(B70,"0")&amp;""</f>
        <v>Нормативные иные затраты на техническое обслуживание и содержание имущества включают в себя:
нормативные затраты по вывозу и утилизации отработанных картриджей,  нормативные затраты по вывозу и утилизации огнетушителей</v>
      </c>
      <c r="X64" s="80"/>
    </row>
    <row r="65" spans="1:23" s="75" customFormat="1" ht="119.25" customHeight="1" x14ac:dyDescent="0.25">
      <c r="A65" s="383" t="s">
        <v>207</v>
      </c>
      <c r="B65" s="376" t="s">
        <v>208</v>
      </c>
      <c r="C65" s="56"/>
      <c r="D65" s="378">
        <v>225</v>
      </c>
      <c r="E65" s="378">
        <v>244</v>
      </c>
      <c r="F65" s="380" t="s">
        <v>245</v>
      </c>
      <c r="G65" s="380"/>
      <c r="H65" s="380"/>
      <c r="I65" s="380"/>
      <c r="J65" s="380"/>
      <c r="K65" s="380"/>
      <c r="L65" s="380"/>
      <c r="M65" s="380"/>
      <c r="N65" s="380"/>
      <c r="O65" s="380"/>
      <c r="P65" s="380"/>
      <c r="Q65" s="380"/>
      <c r="R65" s="380"/>
      <c r="S65" s="134"/>
      <c r="T65" s="485">
        <f>O67</f>
        <v>68040</v>
      </c>
      <c r="U65" s="485">
        <f>O68</f>
        <v>71350</v>
      </c>
      <c r="V65" s="485">
        <f>O69</f>
        <v>74610</v>
      </c>
      <c r="W65" s="132" t="s">
        <v>209</v>
      </c>
    </row>
    <row r="66" spans="1:23" ht="15" customHeight="1" outlineLevel="1" x14ac:dyDescent="0.25">
      <c r="A66" s="383"/>
      <c r="B66" s="377"/>
      <c r="C66" s="64"/>
      <c r="D66" s="379"/>
      <c r="E66" s="384"/>
      <c r="F66" s="61">
        <v>2022</v>
      </c>
      <c r="G66" s="134">
        <v>1</v>
      </c>
      <c r="H66" s="67" t="s">
        <v>77</v>
      </c>
      <c r="I66" s="139">
        <v>1</v>
      </c>
      <c r="J66" s="67" t="s">
        <v>67</v>
      </c>
      <c r="K66" s="134">
        <v>62868</v>
      </c>
      <c r="L66" s="67" t="s">
        <v>41</v>
      </c>
      <c r="M66" s="137">
        <f>ROUND((G66*I66*K66),0)</f>
        <v>62868</v>
      </c>
      <c r="N66" s="67" t="s">
        <v>37</v>
      </c>
      <c r="O66" s="70">
        <f>ROUNDUP((M66),-1)</f>
        <v>62870</v>
      </c>
      <c r="P66" s="71" t="s">
        <v>37</v>
      </c>
      <c r="Q66" s="78"/>
      <c r="R66" s="61"/>
      <c r="S66" s="65"/>
      <c r="T66" s="485"/>
      <c r="U66" s="485"/>
      <c r="V66" s="485"/>
      <c r="W66" s="132"/>
    </row>
    <row r="67" spans="1:23" ht="18" customHeight="1" x14ac:dyDescent="0.25">
      <c r="A67" s="383"/>
      <c r="B67" s="377"/>
      <c r="C67" s="64"/>
      <c r="D67" s="379"/>
      <c r="E67" s="384"/>
      <c r="F67" s="68" t="str">
        <f>F14</f>
        <v>норматив на 2023 год :</v>
      </c>
      <c r="G67" s="134">
        <v>1</v>
      </c>
      <c r="H67" s="67" t="s">
        <v>77</v>
      </c>
      <c r="I67" s="139">
        <v>1</v>
      </c>
      <c r="J67" s="67" t="s">
        <v>67</v>
      </c>
      <c r="K67" s="129">
        <f>K66*1.0822</f>
        <v>68035.74960000001</v>
      </c>
      <c r="L67" s="67" t="s">
        <v>41</v>
      </c>
      <c r="M67" s="137">
        <f t="shared" ref="M67:M69" si="18">ROUND((G67*I67*K67),0)</f>
        <v>68036</v>
      </c>
      <c r="N67" s="67" t="s">
        <v>37</v>
      </c>
      <c r="O67" s="70">
        <f t="shared" ref="O67:O69" si="19">ROUNDUP((M67),-1)</f>
        <v>68040</v>
      </c>
      <c r="P67" s="71" t="s">
        <v>37</v>
      </c>
      <c r="Q67" s="72"/>
      <c r="R67" s="61"/>
      <c r="S67" s="72"/>
      <c r="T67" s="485"/>
      <c r="U67" s="485"/>
      <c r="V67" s="485"/>
      <c r="W67" s="132" t="str">
        <f>""&amp;TEXT($G$38,"0,0")&amp;" у.ед. х "&amp;TEXT($I$38,"0,0")&amp;" раз х "&amp;TEXT(ROUND((K67),2),"000,00")&amp;" руб. = "&amp;TEXT(ROUND((M67),2),"000,00")&amp;" руб. = "&amp;TEXT(O67,"0 000,00")&amp;" руб."</f>
        <v>1,0 у.ед. х 1,0 раз х 68035,75 руб. = 68036,00 руб. = 68 040,00 руб.</v>
      </c>
    </row>
    <row r="68" spans="1:23" ht="19.5" customHeight="1" x14ac:dyDescent="0.25">
      <c r="A68" s="383"/>
      <c r="B68" s="377"/>
      <c r="C68" s="64"/>
      <c r="D68" s="379"/>
      <c r="E68" s="384"/>
      <c r="F68" s="68" t="str">
        <f t="shared" ref="F68:F69" si="20">F15</f>
        <v>норматив на 2024 год :</v>
      </c>
      <c r="G68" s="134">
        <v>1</v>
      </c>
      <c r="H68" s="67" t="s">
        <v>77</v>
      </c>
      <c r="I68" s="139">
        <v>1</v>
      </c>
      <c r="J68" s="67" t="s">
        <v>67</v>
      </c>
      <c r="K68" s="129">
        <f>K67*1.0487</f>
        <v>71349.090605520003</v>
      </c>
      <c r="L68" s="67" t="s">
        <v>41</v>
      </c>
      <c r="M68" s="137">
        <f t="shared" si="18"/>
        <v>71349</v>
      </c>
      <c r="N68" s="67" t="s">
        <v>37</v>
      </c>
      <c r="O68" s="70">
        <f t="shared" si="19"/>
        <v>71350</v>
      </c>
      <c r="P68" s="71" t="s">
        <v>37</v>
      </c>
      <c r="Q68" s="72"/>
      <c r="R68" s="61"/>
      <c r="S68" s="72"/>
      <c r="T68" s="485"/>
      <c r="U68" s="485"/>
      <c r="V68" s="485"/>
      <c r="W68" s="132" t="str">
        <f>""&amp;TEXT($G$38,"0,0")&amp;" ед. х "&amp;TEXT($I$38,"0,0")&amp;" раз х "&amp;TEXT(ROUND((K68),2),"000,00")&amp;" руб. = "&amp;TEXT(ROUND((M68),2),"000,00")&amp;" руб. = "&amp;TEXT(O68,"0 000,00")&amp;" руб."</f>
        <v>1,0 ед. х 1,0 раз х 71349,09 руб. = 71349,00 руб. = 71 350,00 руб.</v>
      </c>
    </row>
    <row r="69" spans="1:23" ht="19.5" customHeight="1" x14ac:dyDescent="0.25">
      <c r="A69" s="383"/>
      <c r="B69" s="377"/>
      <c r="C69" s="64"/>
      <c r="D69" s="379"/>
      <c r="E69" s="384"/>
      <c r="F69" s="68" t="str">
        <f t="shared" si="20"/>
        <v>норматив на 2025 год :</v>
      </c>
      <c r="G69" s="134">
        <v>1</v>
      </c>
      <c r="H69" s="67" t="s">
        <v>77</v>
      </c>
      <c r="I69" s="139">
        <v>1</v>
      </c>
      <c r="J69" s="67" t="s">
        <v>67</v>
      </c>
      <c r="K69" s="129">
        <f>K68*1.0457</f>
        <v>74609.744046192267</v>
      </c>
      <c r="L69" s="67" t="s">
        <v>41</v>
      </c>
      <c r="M69" s="137">
        <f t="shared" si="18"/>
        <v>74610</v>
      </c>
      <c r="N69" s="67" t="s">
        <v>37</v>
      </c>
      <c r="O69" s="70">
        <f t="shared" si="19"/>
        <v>74610</v>
      </c>
      <c r="P69" s="71" t="s">
        <v>37</v>
      </c>
      <c r="Q69" s="70"/>
      <c r="R69" s="61"/>
      <c r="S69" s="71"/>
      <c r="T69" s="486"/>
      <c r="U69" s="486"/>
      <c r="V69" s="486"/>
      <c r="W69" s="132" t="str">
        <f>""&amp;TEXT($G$38,"0,0")&amp;" ед. х "&amp;TEXT($I$38,"0,0")&amp;" раз х "&amp;TEXT(ROUND((K69),2),"000,00")&amp;" руб. = "&amp;TEXT(ROUND((M69),2),"000,00")&amp;" руб. = "&amp;TEXT(O69,"0 000,00")&amp;" руб."</f>
        <v>1,0 ед. х 1,0 раз х 74609,74 руб. = 74610,00 руб. = 74 610,00 руб.</v>
      </c>
    </row>
    <row r="70" spans="1:23" s="75" customFormat="1" ht="119.25" customHeight="1" x14ac:dyDescent="0.25">
      <c r="A70" s="383" t="s">
        <v>238</v>
      </c>
      <c r="B70" s="376" t="s">
        <v>236</v>
      </c>
      <c r="C70" s="56"/>
      <c r="D70" s="378">
        <v>225</v>
      </c>
      <c r="E70" s="378">
        <v>244</v>
      </c>
      <c r="F70" s="380" t="s">
        <v>246</v>
      </c>
      <c r="G70" s="380"/>
      <c r="H70" s="380"/>
      <c r="I70" s="380"/>
      <c r="J70" s="380"/>
      <c r="K70" s="380"/>
      <c r="L70" s="380"/>
      <c r="M70" s="380"/>
      <c r="N70" s="380"/>
      <c r="O70" s="380"/>
      <c r="P70" s="380"/>
      <c r="Q70" s="380"/>
      <c r="R70" s="380"/>
      <c r="S70" s="134"/>
      <c r="T70" s="485">
        <f>O72</f>
        <v>6960</v>
      </c>
      <c r="U70" s="485">
        <f>O73</f>
        <v>7300</v>
      </c>
      <c r="V70" s="485">
        <f>O74</f>
        <v>7630</v>
      </c>
      <c r="W70" s="132" t="s">
        <v>364</v>
      </c>
    </row>
    <row r="71" spans="1:23" ht="15" customHeight="1" outlineLevel="1" x14ac:dyDescent="0.25">
      <c r="A71" s="383"/>
      <c r="B71" s="377"/>
      <c r="C71" s="64"/>
      <c r="D71" s="379"/>
      <c r="E71" s="384"/>
      <c r="F71" s="61"/>
      <c r="G71" s="137"/>
      <c r="H71" s="67"/>
      <c r="I71" s="139"/>
      <c r="J71" s="67" t="s">
        <v>67</v>
      </c>
      <c r="K71" s="137"/>
      <c r="L71" s="67" t="s">
        <v>41</v>
      </c>
      <c r="M71" s="137">
        <f>ROUND((G71*I71*K71),0)</f>
        <v>0</v>
      </c>
      <c r="N71" s="67" t="s">
        <v>37</v>
      </c>
      <c r="O71" s="70">
        <f>ROUNDUP((M71),-1)</f>
        <v>0</v>
      </c>
      <c r="P71" s="71" t="s">
        <v>37</v>
      </c>
      <c r="Q71" s="78"/>
      <c r="R71" s="61"/>
      <c r="S71" s="65"/>
      <c r="T71" s="485"/>
      <c r="U71" s="485"/>
      <c r="V71" s="485"/>
      <c r="W71" s="132"/>
    </row>
    <row r="72" spans="1:23" ht="18" customHeight="1" x14ac:dyDescent="0.25">
      <c r="A72" s="383"/>
      <c r="B72" s="377"/>
      <c r="C72" s="64"/>
      <c r="D72" s="379"/>
      <c r="E72" s="384"/>
      <c r="F72" s="68" t="str">
        <f>F14</f>
        <v>норматив на 2023 год :</v>
      </c>
      <c r="G72" s="134">
        <v>61</v>
      </c>
      <c r="H72" s="67" t="s">
        <v>77</v>
      </c>
      <c r="I72" s="139">
        <v>1</v>
      </c>
      <c r="J72" s="67" t="s">
        <v>67</v>
      </c>
      <c r="K72" s="129">
        <v>114</v>
      </c>
      <c r="L72" s="67" t="s">
        <v>41</v>
      </c>
      <c r="M72" s="137">
        <f t="shared" ref="M72:M74" si="21">ROUND((G72*I72*K72),0)</f>
        <v>6954</v>
      </c>
      <c r="N72" s="67" t="s">
        <v>37</v>
      </c>
      <c r="O72" s="70">
        <f t="shared" ref="O72:O74" si="22">ROUNDUP((M72),-1)</f>
        <v>6960</v>
      </c>
      <c r="P72" s="71" t="s">
        <v>37</v>
      </c>
      <c r="Q72" s="72"/>
      <c r="R72" s="61"/>
      <c r="S72" s="72"/>
      <c r="T72" s="485"/>
      <c r="U72" s="485"/>
      <c r="V72" s="485"/>
      <c r="W72" s="132" t="str">
        <f>""&amp;TEXT($G$72,"0,0")&amp;" шт. х "&amp;TEXT($I$72,"0,0")&amp;" раз х "&amp;TEXT(ROUND((K72),2),"000,00")&amp;" руб. = "&amp;TEXT(ROUND((M72),2),"000,00")&amp;" руб. = "&amp;TEXT(O72,"0 000,00")&amp;" руб."</f>
        <v>61,0 шт. х 1,0 раз х 114,00 руб. = 6954,00 руб. = 6 960,00 руб.</v>
      </c>
    </row>
    <row r="73" spans="1:23" ht="19.5" customHeight="1" x14ac:dyDescent="0.25">
      <c r="A73" s="383"/>
      <c r="B73" s="377"/>
      <c r="C73" s="64"/>
      <c r="D73" s="379"/>
      <c r="E73" s="384"/>
      <c r="F73" s="68" t="str">
        <f t="shared" ref="F73:F74" si="23">F15</f>
        <v>норматив на 2024 год :</v>
      </c>
      <c r="G73" s="134">
        <v>61</v>
      </c>
      <c r="H73" s="67" t="s">
        <v>77</v>
      </c>
      <c r="I73" s="139">
        <v>1</v>
      </c>
      <c r="J73" s="67" t="s">
        <v>67</v>
      </c>
      <c r="K73" s="129">
        <f>K72*1.0487</f>
        <v>119.5518</v>
      </c>
      <c r="L73" s="67" t="s">
        <v>41</v>
      </c>
      <c r="M73" s="137">
        <f t="shared" si="21"/>
        <v>7293</v>
      </c>
      <c r="N73" s="67" t="s">
        <v>37</v>
      </c>
      <c r="O73" s="70">
        <f t="shared" si="22"/>
        <v>7300</v>
      </c>
      <c r="P73" s="71" t="s">
        <v>37</v>
      </c>
      <c r="Q73" s="72"/>
      <c r="R73" s="61"/>
      <c r="S73" s="72"/>
      <c r="T73" s="485"/>
      <c r="U73" s="485"/>
      <c r="V73" s="485"/>
      <c r="W73" s="132" t="str">
        <f>""&amp;TEXT($G$73,"0,0")&amp;" шт. х "&amp;TEXT($I$38,"0,0")&amp;" раз х "&amp;TEXT(ROUND((K73),2),"000,00")&amp;" руб. = "&amp;TEXT(ROUND((M73),2),"000,00")&amp;" руб. = "&amp;TEXT(O73,"0 000,00")&amp;" руб."</f>
        <v>61,0 шт. х 1,0 раз х 119,55 руб. = 7293,00 руб. = 7 300,00 руб.</v>
      </c>
    </row>
    <row r="74" spans="1:23" ht="19.5" customHeight="1" x14ac:dyDescent="0.25">
      <c r="A74" s="383"/>
      <c r="B74" s="377"/>
      <c r="C74" s="64"/>
      <c r="D74" s="379"/>
      <c r="E74" s="384"/>
      <c r="F74" s="68" t="str">
        <f t="shared" si="23"/>
        <v>норматив на 2025 год :</v>
      </c>
      <c r="G74" s="134">
        <v>61</v>
      </c>
      <c r="H74" s="67" t="s">
        <v>77</v>
      </c>
      <c r="I74" s="139">
        <v>1</v>
      </c>
      <c r="J74" s="67" t="s">
        <v>67</v>
      </c>
      <c r="K74" s="129">
        <f>K73*1.0457</f>
        <v>125.01531726</v>
      </c>
      <c r="L74" s="67" t="s">
        <v>41</v>
      </c>
      <c r="M74" s="137">
        <f t="shared" si="21"/>
        <v>7626</v>
      </c>
      <c r="N74" s="67" t="s">
        <v>37</v>
      </c>
      <c r="O74" s="70">
        <f t="shared" si="22"/>
        <v>7630</v>
      </c>
      <c r="P74" s="71" t="s">
        <v>37</v>
      </c>
      <c r="Q74" s="70"/>
      <c r="R74" s="61"/>
      <c r="S74" s="71"/>
      <c r="T74" s="486"/>
      <c r="U74" s="486"/>
      <c r="V74" s="486"/>
      <c r="W74" s="132" t="str">
        <f>""&amp;TEXT($G$74,"0,0")&amp;" шт. х "&amp;TEXT($I$38,"0,0")&amp;" раз х "&amp;TEXT(ROUND((K74),2),"000,00")&amp;" руб. = "&amp;TEXT(ROUND((M74),2),"000,00")&amp;" руб. = "&amp;TEXT(O74,"0 000,00")&amp;" руб."</f>
        <v>61,0 шт. х 1,0 раз х 125,02 руб. = 7626,00 руб. = 7 630,00 руб.</v>
      </c>
    </row>
    <row r="75" spans="1:23" ht="91.5" customHeight="1" x14ac:dyDescent="0.25">
      <c r="A75" s="247" t="s">
        <v>12</v>
      </c>
      <c r="B75" s="259" t="s">
        <v>339</v>
      </c>
      <c r="C75" s="88"/>
      <c r="D75" s="248" t="s">
        <v>35</v>
      </c>
      <c r="E75" s="248" t="s">
        <v>35</v>
      </c>
      <c r="F75" s="423"/>
      <c r="G75" s="424"/>
      <c r="H75" s="424"/>
      <c r="I75" s="424"/>
      <c r="J75" s="424"/>
      <c r="K75" s="424"/>
      <c r="L75" s="424"/>
      <c r="M75" s="424"/>
      <c r="N75" s="424"/>
      <c r="O75" s="424"/>
      <c r="P75" s="424"/>
      <c r="Q75" s="424"/>
      <c r="R75" s="424"/>
      <c r="S75" s="424"/>
      <c r="T75" s="255">
        <f>SUM(T76,T81,T92,T97)</f>
        <v>583420</v>
      </c>
      <c r="U75" s="255">
        <f>SUM(U76,U81,U92,U97)</f>
        <v>611380</v>
      </c>
      <c r="V75" s="255">
        <f>SUM(V76,V81,V92,V97)</f>
        <v>639210</v>
      </c>
      <c r="W75" s="246" t="str">
        <f>"Нормативные " &amp;TEXT(B75,"0")&amp;" включают в себя:
нормативные "&amp;TEXT(B76,"0")&amp;";
нормативные "&amp;TEXT(B81,"0")&amp;";
нормативные "&amp;TEXT(B92,"0")&amp;";
нормативные "&amp;TEXT(B97,"0")&amp;""</f>
        <v>Нормативные затраты на приобретение прочих работ и услуг включают в себя:
нормативные затраты на оплату типографских работ и услуг, включая приобретение периодических печатных изданий;
нормативные затраты на проведение предрейсового и послерейсового осмотра водителей транспортных средств;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76" spans="1:23" ht="56.25" x14ac:dyDescent="0.25">
      <c r="A76" s="241" t="s">
        <v>13</v>
      </c>
      <c r="B76" s="261" t="s">
        <v>104</v>
      </c>
      <c r="C76" s="52"/>
      <c r="D76" s="244" t="s">
        <v>35</v>
      </c>
      <c r="E76" s="244" t="s">
        <v>35</v>
      </c>
      <c r="F76" s="423"/>
      <c r="G76" s="424"/>
      <c r="H76" s="424"/>
      <c r="I76" s="424"/>
      <c r="J76" s="424"/>
      <c r="K76" s="424"/>
      <c r="L76" s="424"/>
      <c r="M76" s="424"/>
      <c r="N76" s="424"/>
      <c r="O76" s="424"/>
      <c r="P76" s="424"/>
      <c r="Q76" s="424"/>
      <c r="R76" s="424"/>
      <c r="S76" s="424"/>
      <c r="T76" s="253">
        <f>SUM(T77)</f>
        <v>429410</v>
      </c>
      <c r="U76" s="253">
        <f>SUM(U77)</f>
        <v>449860</v>
      </c>
      <c r="V76" s="253">
        <f>SUM(V77)</f>
        <v>470310</v>
      </c>
      <c r="W76" s="92" t="str">
        <f>"Нормативные "&amp;TEXT(B76,"0")&amp;" включают в себя:
нормативные "&amp;TEXT(B77,"0")&amp;""</f>
        <v>Нормативные затраты на оплату типографских работ и услуг, включая приобретение периодических печатных изданий включают в себя:
нормативные затраты на приобретение периодических печатных изданий</v>
      </c>
    </row>
    <row r="77" spans="1:23" ht="105.75" customHeight="1" x14ac:dyDescent="0.25">
      <c r="A77" s="383" t="s">
        <v>130</v>
      </c>
      <c r="B77" s="376" t="s">
        <v>103</v>
      </c>
      <c r="C77" s="64"/>
      <c r="D77" s="378">
        <v>226</v>
      </c>
      <c r="E77" s="378">
        <v>244</v>
      </c>
      <c r="F77" s="380" t="s">
        <v>247</v>
      </c>
      <c r="G77" s="380"/>
      <c r="H77" s="380"/>
      <c r="I77" s="380"/>
      <c r="J77" s="380"/>
      <c r="K77" s="380"/>
      <c r="L77" s="380"/>
      <c r="M77" s="380"/>
      <c r="N77" s="380"/>
      <c r="O77" s="380"/>
      <c r="P77" s="380"/>
      <c r="Q77" s="380"/>
      <c r="R77" s="380"/>
      <c r="S77" s="65"/>
      <c r="T77" s="381">
        <f>O78</f>
        <v>429410</v>
      </c>
      <c r="U77" s="381">
        <f>O79</f>
        <v>449860</v>
      </c>
      <c r="V77" s="381">
        <f>O80</f>
        <v>470310</v>
      </c>
      <c r="W77" s="132" t="s">
        <v>51</v>
      </c>
    </row>
    <row r="78" spans="1:23" ht="21.75" customHeight="1" x14ac:dyDescent="0.25">
      <c r="A78" s="383"/>
      <c r="B78" s="377"/>
      <c r="C78" s="64"/>
      <c r="D78" s="379"/>
      <c r="E78" s="379"/>
      <c r="F78" s="68" t="str">
        <f>F14</f>
        <v>норматив на 2023 год :</v>
      </c>
      <c r="G78" s="134">
        <v>213</v>
      </c>
      <c r="H78" s="67" t="s">
        <v>48</v>
      </c>
      <c r="I78" s="141">
        <v>168</v>
      </c>
      <c r="J78" s="67" t="s">
        <v>49</v>
      </c>
      <c r="K78" s="140">
        <v>12</v>
      </c>
      <c r="L78" s="67" t="s">
        <v>50</v>
      </c>
      <c r="M78" s="137">
        <f t="shared" ref="M78:M80" si="24">ROUND((G78*I78*K78),0)</f>
        <v>429408</v>
      </c>
      <c r="N78" s="67" t="s">
        <v>41</v>
      </c>
      <c r="O78" s="70">
        <f>ROUNDUP((M78),-1)</f>
        <v>429410</v>
      </c>
      <c r="P78" s="71" t="s">
        <v>37</v>
      </c>
      <c r="Q78" s="67"/>
      <c r="R78" s="65"/>
      <c r="S78" s="65"/>
      <c r="T78" s="381"/>
      <c r="U78" s="381"/>
      <c r="V78" s="381"/>
      <c r="W78" s="132" t="str">
        <f>""&amp;TEXT(G78,"000,00")&amp;" шт.ед. х норматив "&amp;TEXT(I78,"0,00")&amp;" руб. х "&amp;TEXT(K78,"00,0")&amp;" мес.  = "&amp;TEXT(M78,"0 000,00")&amp;" руб. = "&amp;TEXT(O78,"0 000,00")&amp;" руб."</f>
        <v>213,00 шт.ед. х норматив 168,00 руб. х 12,0 мес.  = 429 408,00 руб. = 429 410,00 руб.</v>
      </c>
    </row>
    <row r="79" spans="1:23" ht="20.25" customHeight="1" x14ac:dyDescent="0.25">
      <c r="A79" s="383"/>
      <c r="B79" s="377"/>
      <c r="C79" s="64"/>
      <c r="D79" s="379"/>
      <c r="E79" s="379"/>
      <c r="F79" s="68" t="str">
        <f>F15</f>
        <v>норматив на 2024 год :</v>
      </c>
      <c r="G79" s="134">
        <v>213</v>
      </c>
      <c r="H79" s="67" t="s">
        <v>48</v>
      </c>
      <c r="I79" s="141">
        <v>176</v>
      </c>
      <c r="J79" s="67" t="s">
        <v>49</v>
      </c>
      <c r="K79" s="140">
        <v>12</v>
      </c>
      <c r="L79" s="67" t="s">
        <v>50</v>
      </c>
      <c r="M79" s="137">
        <f t="shared" si="24"/>
        <v>449856</v>
      </c>
      <c r="N79" s="67" t="s">
        <v>41</v>
      </c>
      <c r="O79" s="70">
        <f t="shared" ref="O79:O80" si="25">ROUNDUP((M79),-1)</f>
        <v>449860</v>
      </c>
      <c r="P79" s="71" t="s">
        <v>37</v>
      </c>
      <c r="Q79" s="67"/>
      <c r="R79" s="65"/>
      <c r="S79" s="65"/>
      <c r="T79" s="381"/>
      <c r="U79" s="381"/>
      <c r="V79" s="381"/>
      <c r="W79" s="132" t="str">
        <f t="shared" ref="W79:W80" si="26">""&amp;TEXT(G79,"000,00")&amp;" шт.ед. х норматив "&amp;TEXT(I79,"0,00")&amp;" руб. х "&amp;TEXT(K79,"00,0")&amp;" мес.  = "&amp;TEXT(M79,"0 000,00")&amp;" руб. = "&amp;TEXT(O79,"0 000,00")&amp;" руб."</f>
        <v>213,00 шт.ед. х норматив 176,00 руб. х 12,0 мес.  = 449 856,00 руб. = 449 860,00 руб.</v>
      </c>
    </row>
    <row r="80" spans="1:23" ht="22.5" customHeight="1" x14ac:dyDescent="0.25">
      <c r="A80" s="383"/>
      <c r="B80" s="377"/>
      <c r="C80" s="64"/>
      <c r="D80" s="379"/>
      <c r="E80" s="379"/>
      <c r="F80" s="68" t="str">
        <f>F16</f>
        <v>норматив на 2025 год :</v>
      </c>
      <c r="G80" s="134">
        <v>213</v>
      </c>
      <c r="H80" s="67" t="s">
        <v>48</v>
      </c>
      <c r="I80" s="141">
        <v>184</v>
      </c>
      <c r="J80" s="67" t="s">
        <v>49</v>
      </c>
      <c r="K80" s="140">
        <v>12</v>
      </c>
      <c r="L80" s="67" t="s">
        <v>50</v>
      </c>
      <c r="M80" s="137">
        <f t="shared" si="24"/>
        <v>470304</v>
      </c>
      <c r="N80" s="67" t="s">
        <v>41</v>
      </c>
      <c r="O80" s="70">
        <f t="shared" si="25"/>
        <v>470310</v>
      </c>
      <c r="P80" s="71" t="s">
        <v>37</v>
      </c>
      <c r="Q80" s="67"/>
      <c r="R80" s="65"/>
      <c r="S80" s="65"/>
      <c r="T80" s="381"/>
      <c r="U80" s="381"/>
      <c r="V80" s="381"/>
      <c r="W80" s="132" t="str">
        <f t="shared" si="26"/>
        <v>213,00 шт.ед. х норматив 184,00 руб. х 12,0 мес.  = 470 304,00 руб. = 470 310,00 руб.</v>
      </c>
    </row>
    <row r="81" spans="1:23" ht="56.25" x14ac:dyDescent="0.25">
      <c r="A81" s="241" t="s">
        <v>30</v>
      </c>
      <c r="B81" s="258" t="s">
        <v>105</v>
      </c>
      <c r="C81" s="52"/>
      <c r="D81" s="244" t="s">
        <v>35</v>
      </c>
      <c r="E81" s="244" t="s">
        <v>35</v>
      </c>
      <c r="F81" s="380"/>
      <c r="G81" s="380"/>
      <c r="H81" s="380"/>
      <c r="I81" s="380"/>
      <c r="J81" s="380"/>
      <c r="K81" s="380"/>
      <c r="L81" s="380"/>
      <c r="M81" s="380"/>
      <c r="N81" s="380"/>
      <c r="O81" s="380"/>
      <c r="P81" s="380"/>
      <c r="Q81" s="380"/>
      <c r="R81" s="380"/>
      <c r="S81" s="131"/>
      <c r="T81" s="253">
        <f>SUM(T82,T87)</f>
        <v>29140</v>
      </c>
      <c r="U81" s="253">
        <f t="shared" ref="U81:V81" si="27">SUM(U82,U87)</f>
        <v>30560</v>
      </c>
      <c r="V81" s="253">
        <f t="shared" si="27"/>
        <v>31960</v>
      </c>
      <c r="W81" s="132" t="str">
        <f>"Нормативные "&amp;TEXT(B81,"0")&amp;" включают в себя:
нормативные "&amp;TEXT(B82,"0")&amp;";
нормативные "&amp;TEXT(B87,"0")&amp;""</f>
        <v>Нормативные затраты на проведение предрейсового и послерейсового осмотра водителей транспортных средств включают в себя:
нормативные затраты на проведение периодического медицинского осмотра;
нормативные затраты на проведение предрейсового медицинского осмотра</v>
      </c>
    </row>
    <row r="82" spans="1:23" ht="124.5" customHeight="1" x14ac:dyDescent="0.25">
      <c r="A82" s="383" t="s">
        <v>125</v>
      </c>
      <c r="B82" s="376" t="s">
        <v>106</v>
      </c>
      <c r="C82" s="64"/>
      <c r="D82" s="378">
        <v>226</v>
      </c>
      <c r="E82" s="378">
        <v>244</v>
      </c>
      <c r="F82" s="380" t="s">
        <v>248</v>
      </c>
      <c r="G82" s="380"/>
      <c r="H82" s="380"/>
      <c r="I82" s="380"/>
      <c r="J82" s="380"/>
      <c r="K82" s="380"/>
      <c r="L82" s="380"/>
      <c r="M82" s="380"/>
      <c r="N82" s="380"/>
      <c r="O82" s="380"/>
      <c r="P82" s="380"/>
      <c r="Q82" s="380"/>
      <c r="R82" s="380"/>
      <c r="S82" s="65"/>
      <c r="T82" s="485">
        <f>O84</f>
        <v>2710</v>
      </c>
      <c r="U82" s="482">
        <f>O85</f>
        <v>2840</v>
      </c>
      <c r="V82" s="485">
        <f>O86</f>
        <v>2970</v>
      </c>
      <c r="W82" s="132" t="s">
        <v>74</v>
      </c>
    </row>
    <row r="83" spans="1:23" ht="20.25" customHeight="1" outlineLevel="1" x14ac:dyDescent="0.25">
      <c r="A83" s="383"/>
      <c r="B83" s="377"/>
      <c r="C83" s="64"/>
      <c r="D83" s="379"/>
      <c r="E83" s="384"/>
      <c r="F83" s="61">
        <v>2022</v>
      </c>
      <c r="G83" s="134">
        <v>1</v>
      </c>
      <c r="H83" s="67" t="s">
        <v>252</v>
      </c>
      <c r="I83" s="134">
        <v>1</v>
      </c>
      <c r="J83" s="67" t="s">
        <v>73</v>
      </c>
      <c r="K83" s="134">
        <v>2500</v>
      </c>
      <c r="L83" s="67" t="s">
        <v>41</v>
      </c>
      <c r="M83" s="134">
        <f>ROUND((G83*I83*K83),0)</f>
        <v>2500</v>
      </c>
      <c r="N83" s="67" t="s">
        <v>37</v>
      </c>
      <c r="O83" s="70">
        <f>ROUNDUP((M83),-1)</f>
        <v>2500</v>
      </c>
      <c r="P83" s="71" t="s">
        <v>37</v>
      </c>
      <c r="Q83" s="67"/>
      <c r="R83" s="65"/>
      <c r="S83" s="65"/>
      <c r="T83" s="485"/>
      <c r="U83" s="483"/>
      <c r="V83" s="485"/>
    </row>
    <row r="84" spans="1:23" ht="15" x14ac:dyDescent="0.25">
      <c r="A84" s="383"/>
      <c r="B84" s="377"/>
      <c r="C84" s="64"/>
      <c r="D84" s="379"/>
      <c r="E84" s="384"/>
      <c r="F84" s="68" t="str">
        <f>F14</f>
        <v>норматив на 2023 год :</v>
      </c>
      <c r="G84" s="134">
        <v>1</v>
      </c>
      <c r="H84" s="65" t="s">
        <v>252</v>
      </c>
      <c r="I84" s="69">
        <v>1</v>
      </c>
      <c r="J84" s="67" t="str">
        <f>J83</f>
        <v>раз х средняя цена</v>
      </c>
      <c r="K84" s="137">
        <f>K83*1.0822</f>
        <v>2705.5</v>
      </c>
      <c r="L84" s="67" t="s">
        <v>41</v>
      </c>
      <c r="M84" s="137">
        <f t="shared" ref="M84:M86" si="28">ROUND((G84*I84*K84),0)</f>
        <v>2706</v>
      </c>
      <c r="N84" s="71" t="s">
        <v>37</v>
      </c>
      <c r="O84" s="70">
        <f t="shared" ref="O84:O86" si="29">ROUNDUP((M84),-1)</f>
        <v>2710</v>
      </c>
      <c r="P84" s="71" t="s">
        <v>37</v>
      </c>
      <c r="Q84" s="72"/>
      <c r="R84" s="71"/>
      <c r="S84" s="65"/>
      <c r="T84" s="485"/>
      <c r="U84" s="483"/>
      <c r="V84" s="485"/>
      <c r="W84" s="132" t="str">
        <f>""&amp;TEXT(G84,"0,0")&amp;" чел. х "&amp;TEXT(I84,"0,0")&amp;" раз х "&amp;TEXT(ROUND((K84),2),"0 000,00")&amp;" руб. = "&amp;TEXT(ROUND((M84),2),"0 000,00")&amp;" руб. = "&amp;TEXT(O84,"0 000,00")&amp;" руб."</f>
        <v>1,0 чел. х 1,0 раз х 2 705,50 руб. = 2 706,00 руб. = 2 710,00 руб.</v>
      </c>
    </row>
    <row r="85" spans="1:23" ht="15" customHeight="1" outlineLevel="1" collapsed="1" x14ac:dyDescent="0.25">
      <c r="A85" s="383"/>
      <c r="B85" s="377"/>
      <c r="C85" s="64"/>
      <c r="D85" s="379"/>
      <c r="E85" s="384"/>
      <c r="F85" s="68" t="str">
        <f>F15</f>
        <v>норматив на 2024 год :</v>
      </c>
      <c r="G85" s="134">
        <v>1</v>
      </c>
      <c r="H85" s="67" t="str">
        <f>H84</f>
        <v xml:space="preserve">чел. </v>
      </c>
      <c r="I85" s="69">
        <v>1</v>
      </c>
      <c r="J85" s="67" t="str">
        <f>J83</f>
        <v>раз х средняя цена</v>
      </c>
      <c r="K85" s="137">
        <f>K84*1.0487</f>
        <v>2837.25785</v>
      </c>
      <c r="L85" s="67" t="s">
        <v>41</v>
      </c>
      <c r="M85" s="137">
        <f t="shared" si="28"/>
        <v>2837</v>
      </c>
      <c r="N85" s="71" t="s">
        <v>37</v>
      </c>
      <c r="O85" s="70">
        <f t="shared" si="29"/>
        <v>2840</v>
      </c>
      <c r="P85" s="71" t="s">
        <v>37</v>
      </c>
      <c r="Q85" s="93"/>
      <c r="R85" s="71"/>
      <c r="S85" s="65"/>
      <c r="T85" s="485"/>
      <c r="U85" s="483"/>
      <c r="V85" s="485"/>
      <c r="W85" s="132" t="str">
        <f t="shared" ref="W85:W86" si="30">""&amp;TEXT(G85,"0,0")&amp;" чел. х "&amp;TEXT(I85,"0,0")&amp;" раз х "&amp;TEXT(ROUND((K85),2),"0 000,00")&amp;" руб. = "&amp;TEXT(ROUND((M85),2),"0 000,00")&amp;" руб. = "&amp;TEXT(O85,"0 000,00")&amp;" руб."</f>
        <v>1,0 чел. х 1,0 раз х 2 837,26 руб. = 2 837,00 руб. = 2 840,00 руб.</v>
      </c>
    </row>
    <row r="86" spans="1:23" ht="15" x14ac:dyDescent="0.25">
      <c r="A86" s="383"/>
      <c r="B86" s="377"/>
      <c r="C86" s="64"/>
      <c r="D86" s="379"/>
      <c r="E86" s="384"/>
      <c r="F86" s="68" t="str">
        <f>F16</f>
        <v>норматив на 2025 год :</v>
      </c>
      <c r="G86" s="134">
        <v>1</v>
      </c>
      <c r="H86" s="67" t="str">
        <f>H84</f>
        <v xml:space="preserve">чел. </v>
      </c>
      <c r="I86" s="69">
        <v>1</v>
      </c>
      <c r="J86" s="67" t="str">
        <f>J83</f>
        <v>раз х средняя цена</v>
      </c>
      <c r="K86" s="137">
        <f>K85*1.0457</f>
        <v>2966.9205337450003</v>
      </c>
      <c r="L86" s="67" t="s">
        <v>41</v>
      </c>
      <c r="M86" s="137">
        <f t="shared" si="28"/>
        <v>2967</v>
      </c>
      <c r="N86" s="71" t="s">
        <v>37</v>
      </c>
      <c r="O86" s="70">
        <f t="shared" si="29"/>
        <v>2970</v>
      </c>
      <c r="P86" s="71" t="s">
        <v>37</v>
      </c>
      <c r="Q86" s="70"/>
      <c r="R86" s="71"/>
      <c r="S86" s="65"/>
      <c r="T86" s="486"/>
      <c r="U86" s="484"/>
      <c r="V86" s="486"/>
      <c r="W86" s="132" t="str">
        <f t="shared" si="30"/>
        <v>1,0 чел. х 1,0 раз х 2 966,92 руб. = 2 967,00 руб. = 2 970,00 руб.</v>
      </c>
    </row>
    <row r="87" spans="1:23" ht="120.75" customHeight="1" x14ac:dyDescent="0.25">
      <c r="A87" s="383" t="s">
        <v>126</v>
      </c>
      <c r="B87" s="376" t="s">
        <v>107</v>
      </c>
      <c r="C87" s="64"/>
      <c r="D87" s="378">
        <v>226</v>
      </c>
      <c r="E87" s="378">
        <v>244</v>
      </c>
      <c r="F87" s="380" t="s">
        <v>249</v>
      </c>
      <c r="G87" s="380"/>
      <c r="H87" s="380"/>
      <c r="I87" s="380"/>
      <c r="J87" s="380"/>
      <c r="K87" s="380"/>
      <c r="L87" s="380"/>
      <c r="M87" s="380"/>
      <c r="N87" s="380"/>
      <c r="O87" s="380"/>
      <c r="P87" s="380"/>
      <c r="Q87" s="380"/>
      <c r="R87" s="380"/>
      <c r="S87" s="65"/>
      <c r="T87" s="485">
        <f>O89</f>
        <v>26430</v>
      </c>
      <c r="U87" s="485">
        <f>O90</f>
        <v>27720</v>
      </c>
      <c r="V87" s="485">
        <f>O91</f>
        <v>28990</v>
      </c>
      <c r="W87" s="132" t="s">
        <v>69</v>
      </c>
    </row>
    <row r="88" spans="1:23" ht="17.25" customHeight="1" outlineLevel="1" x14ac:dyDescent="0.25">
      <c r="A88" s="383"/>
      <c r="B88" s="377"/>
      <c r="C88" s="64"/>
      <c r="D88" s="379"/>
      <c r="E88" s="384"/>
      <c r="F88" s="61">
        <v>2022</v>
      </c>
      <c r="G88" s="137">
        <v>1</v>
      </c>
      <c r="H88" s="67" t="s">
        <v>252</v>
      </c>
      <c r="I88" s="140">
        <v>222</v>
      </c>
      <c r="J88" s="67" t="s">
        <v>73</v>
      </c>
      <c r="K88" s="137">
        <v>110</v>
      </c>
      <c r="L88" s="67" t="s">
        <v>41</v>
      </c>
      <c r="M88" s="137">
        <f>ROUND((G88*I88*K88),0)</f>
        <v>24420</v>
      </c>
      <c r="N88" s="67" t="s">
        <v>37</v>
      </c>
      <c r="O88" s="70">
        <f>ROUNDUP((M88),-1)</f>
        <v>24420</v>
      </c>
      <c r="P88" s="71" t="s">
        <v>37</v>
      </c>
      <c r="Q88" s="67"/>
      <c r="R88" s="65"/>
      <c r="S88" s="65"/>
      <c r="T88" s="485"/>
      <c r="U88" s="485"/>
      <c r="V88" s="485"/>
    </row>
    <row r="89" spans="1:23" ht="18.75" customHeight="1" x14ac:dyDescent="0.25">
      <c r="A89" s="383"/>
      <c r="B89" s="377"/>
      <c r="C89" s="64"/>
      <c r="D89" s="379"/>
      <c r="E89" s="384"/>
      <c r="F89" s="68" t="str">
        <f>F14</f>
        <v>норматив на 2023 год :</v>
      </c>
      <c r="G89" s="134">
        <v>1</v>
      </c>
      <c r="H89" s="67" t="s">
        <v>252</v>
      </c>
      <c r="I89" s="140">
        <v>222</v>
      </c>
      <c r="J89" s="67" t="str">
        <f>J88</f>
        <v>раз х средняя цена</v>
      </c>
      <c r="K89" s="137">
        <f>K88*1.0822</f>
        <v>119.042</v>
      </c>
      <c r="L89" s="67" t="s">
        <v>41</v>
      </c>
      <c r="M89" s="137">
        <f t="shared" ref="M89:M91" si="31">ROUND((G89*I89*K89),0)</f>
        <v>26427</v>
      </c>
      <c r="N89" s="71" t="s">
        <v>37</v>
      </c>
      <c r="O89" s="70">
        <f t="shared" ref="O89:O91" si="32">ROUNDUP((M89),-1)</f>
        <v>26430</v>
      </c>
      <c r="P89" s="71" t="s">
        <v>37</v>
      </c>
      <c r="Q89" s="70"/>
      <c r="R89" s="72"/>
      <c r="S89" s="65"/>
      <c r="T89" s="485"/>
      <c r="U89" s="485"/>
      <c r="V89" s="485"/>
      <c r="W89" s="132" t="str">
        <f>""&amp;TEXT(G89,"0,0")&amp;" чел. х "&amp;TEXT(I89,"0,0")&amp;" раз х "&amp;TEXT(ROUND((K89),2),"0,00")&amp;" руб. = "&amp;TEXT(ROUND((M89),2),"0 000,00")&amp;" руб. = "&amp;TEXT(O89,"0 000,00")&amp;" руб."</f>
        <v>1,0 чел. х 222,0 раз х 119,04 руб. = 26 427,00 руб. = 26 430,00 руб.</v>
      </c>
    </row>
    <row r="90" spans="1:23" ht="19.5" customHeight="1" x14ac:dyDescent="0.25">
      <c r="A90" s="383"/>
      <c r="B90" s="377"/>
      <c r="C90" s="64"/>
      <c r="D90" s="379"/>
      <c r="E90" s="384"/>
      <c r="F90" s="68" t="str">
        <f>F15</f>
        <v>норматив на 2024 год :</v>
      </c>
      <c r="G90" s="134">
        <v>1</v>
      </c>
      <c r="H90" s="67" t="str">
        <f>H89</f>
        <v xml:space="preserve">чел. </v>
      </c>
      <c r="I90" s="140">
        <v>222</v>
      </c>
      <c r="J90" s="67" t="str">
        <f>J88</f>
        <v>раз х средняя цена</v>
      </c>
      <c r="K90" s="137">
        <f>K89*1.0487</f>
        <v>124.8393454</v>
      </c>
      <c r="L90" s="67" t="s">
        <v>41</v>
      </c>
      <c r="M90" s="137">
        <f t="shared" si="31"/>
        <v>27714</v>
      </c>
      <c r="N90" s="71" t="s">
        <v>37</v>
      </c>
      <c r="O90" s="70">
        <f t="shared" si="32"/>
        <v>27720</v>
      </c>
      <c r="P90" s="71" t="s">
        <v>37</v>
      </c>
      <c r="Q90" s="70"/>
      <c r="R90" s="72"/>
      <c r="S90" s="65"/>
      <c r="T90" s="485"/>
      <c r="U90" s="485"/>
      <c r="V90" s="485"/>
      <c r="W90" s="132" t="str">
        <f t="shared" ref="W90:W91" si="33">""&amp;TEXT(G90,"0,0")&amp;" чел. х "&amp;TEXT(I90,"0,0")&amp;" раз х "&amp;TEXT(ROUND((K90),2),"0,00")&amp;" руб. = "&amp;TEXT(ROUND((M90),2),"0 000,00")&amp;" руб. = "&amp;TEXT(O90,"0 000,00")&amp;" руб."</f>
        <v>1,0 чел. х 222,0 раз х 124,84 руб. = 27 714,00 руб. = 27 720,00 руб.</v>
      </c>
    </row>
    <row r="91" spans="1:23" ht="19.5" customHeight="1" x14ac:dyDescent="0.25">
      <c r="A91" s="383"/>
      <c r="B91" s="377"/>
      <c r="C91" s="64"/>
      <c r="D91" s="379"/>
      <c r="E91" s="384"/>
      <c r="F91" s="68" t="str">
        <f>F16</f>
        <v>норматив на 2025 год :</v>
      </c>
      <c r="G91" s="134">
        <v>1</v>
      </c>
      <c r="H91" s="67" t="str">
        <f>H89</f>
        <v xml:space="preserve">чел. </v>
      </c>
      <c r="I91" s="140">
        <v>222</v>
      </c>
      <c r="J91" s="67" t="str">
        <f>J88</f>
        <v>раз х средняя цена</v>
      </c>
      <c r="K91" s="137">
        <f>K90*1.0457</f>
        <v>130.54450348477999</v>
      </c>
      <c r="L91" s="67" t="s">
        <v>41</v>
      </c>
      <c r="M91" s="137">
        <f t="shared" si="31"/>
        <v>28981</v>
      </c>
      <c r="N91" s="71" t="s">
        <v>37</v>
      </c>
      <c r="O91" s="70">
        <f t="shared" si="32"/>
        <v>28990</v>
      </c>
      <c r="P91" s="71" t="s">
        <v>37</v>
      </c>
      <c r="Q91" s="70"/>
      <c r="R91" s="71"/>
      <c r="S91" s="65"/>
      <c r="T91" s="486"/>
      <c r="U91" s="486"/>
      <c r="V91" s="486"/>
      <c r="W91" s="132" t="str">
        <f t="shared" si="33"/>
        <v>1,0 чел. х 222,0 раз х 130,54 руб. = 28 981,00 руб. = 28 990,00 руб.</v>
      </c>
    </row>
    <row r="92" spans="1:23" ht="117" customHeight="1" x14ac:dyDescent="0.25">
      <c r="A92" s="383" t="s">
        <v>31</v>
      </c>
      <c r="B92" s="376" t="s">
        <v>184</v>
      </c>
      <c r="C92" s="64"/>
      <c r="D92" s="378">
        <v>226</v>
      </c>
      <c r="E92" s="378">
        <v>244</v>
      </c>
      <c r="F92" s="380" t="s">
        <v>249</v>
      </c>
      <c r="G92" s="380"/>
      <c r="H92" s="380"/>
      <c r="I92" s="380"/>
      <c r="J92" s="380"/>
      <c r="K92" s="380"/>
      <c r="L92" s="380"/>
      <c r="M92" s="380"/>
      <c r="N92" s="380"/>
      <c r="O92" s="380"/>
      <c r="P92" s="380"/>
      <c r="Q92" s="380"/>
      <c r="R92" s="380"/>
      <c r="S92" s="65"/>
      <c r="T92" s="485">
        <f>O94</f>
        <v>113770</v>
      </c>
      <c r="U92" s="485">
        <f>O95</f>
        <v>119310</v>
      </c>
      <c r="V92" s="485">
        <f>O96</f>
        <v>124760</v>
      </c>
      <c r="W92" s="132" t="s">
        <v>185</v>
      </c>
    </row>
    <row r="93" spans="1:23" ht="16.5" customHeight="1" outlineLevel="1" x14ac:dyDescent="0.25">
      <c r="A93" s="383"/>
      <c r="B93" s="377"/>
      <c r="C93" s="64"/>
      <c r="D93" s="379"/>
      <c r="E93" s="384"/>
      <c r="F93" s="61">
        <v>2022</v>
      </c>
      <c r="G93" s="134">
        <v>8760</v>
      </c>
      <c r="H93" s="65" t="s">
        <v>251</v>
      </c>
      <c r="I93" s="137">
        <v>12</v>
      </c>
      <c r="J93" s="67" t="s">
        <v>250</v>
      </c>
      <c r="K93" s="134">
        <f>I93*G93</f>
        <v>105120</v>
      </c>
      <c r="L93" s="67" t="s">
        <v>41</v>
      </c>
      <c r="M93" s="134">
        <f>ROUND((K93),0)</f>
        <v>105120</v>
      </c>
      <c r="N93" s="67" t="s">
        <v>37</v>
      </c>
      <c r="O93" s="70">
        <f>ROUNDUP((M93),-1)</f>
        <v>105120</v>
      </c>
      <c r="P93" s="71" t="s">
        <v>37</v>
      </c>
      <c r="Q93" s="67"/>
      <c r="R93" s="65"/>
      <c r="S93" s="65"/>
      <c r="T93" s="485"/>
      <c r="U93" s="485"/>
      <c r="V93" s="485"/>
      <c r="W93" s="132"/>
    </row>
    <row r="94" spans="1:23" ht="21" customHeight="1" x14ac:dyDescent="0.25">
      <c r="A94" s="383"/>
      <c r="B94" s="377"/>
      <c r="C94" s="64"/>
      <c r="D94" s="379"/>
      <c r="E94" s="384"/>
      <c r="F94" s="68" t="str">
        <f>F14</f>
        <v>норматив на 2023 год :</v>
      </c>
      <c r="G94" s="137">
        <v>8760</v>
      </c>
      <c r="H94" s="65" t="s">
        <v>251</v>
      </c>
      <c r="I94" s="137">
        <f>I93*1.0822</f>
        <v>12.9864</v>
      </c>
      <c r="J94" s="67" t="str">
        <f>J93</f>
        <v>руб. цена одного часа</v>
      </c>
      <c r="K94" s="138">
        <f t="shared" ref="K94:K96" si="34">I94*G94</f>
        <v>113760.864</v>
      </c>
      <c r="L94" s="67" t="s">
        <v>41</v>
      </c>
      <c r="M94" s="138">
        <f t="shared" ref="M94:M96" si="35">ROUND((K94),0)</f>
        <v>113761</v>
      </c>
      <c r="N94" s="71" t="s">
        <v>37</v>
      </c>
      <c r="O94" s="70">
        <f t="shared" ref="O94:O96" si="36">ROUNDUP((M94),-1)</f>
        <v>113770</v>
      </c>
      <c r="P94" s="71" t="s">
        <v>37</v>
      </c>
      <c r="Q94" s="70"/>
      <c r="R94" s="71"/>
      <c r="S94" s="65"/>
      <c r="T94" s="485"/>
      <c r="U94" s="485"/>
      <c r="V94" s="485"/>
      <c r="W94" s="132" t="str">
        <f>""&amp;TEXT($G$93,"0,0")&amp;" х "&amp;TEXT($I$93,"0,0")&amp;" руб. х "&amp;TEXT(ROUND((K94),2),"0 000,00")&amp;" руб. = "&amp;TEXT(ROUND(M94,2),"0 000,00")&amp;" руб. = "&amp;TEXT(O94,"0 000,00")&amp;" руб."</f>
        <v>8760,0 х 12,0 руб. х 113 760,86 руб. = 113 761,00 руб. = 113 770,00 руб.</v>
      </c>
    </row>
    <row r="95" spans="1:23" ht="21" customHeight="1" x14ac:dyDescent="0.25">
      <c r="A95" s="383"/>
      <c r="B95" s="377"/>
      <c r="C95" s="64"/>
      <c r="D95" s="379"/>
      <c r="E95" s="384"/>
      <c r="F95" s="68" t="str">
        <f>F15</f>
        <v>норматив на 2024 год :</v>
      </c>
      <c r="G95" s="137">
        <v>8760</v>
      </c>
      <c r="H95" s="67" t="str">
        <f>H94</f>
        <v xml:space="preserve">час х стоимость часа  х  индекс потребительских цен </v>
      </c>
      <c r="I95" s="137">
        <f>I94*1.0487</f>
        <v>13.618837679999999</v>
      </c>
      <c r="J95" s="67" t="str">
        <f>J93</f>
        <v>руб. цена одного часа</v>
      </c>
      <c r="K95" s="138">
        <f t="shared" si="34"/>
        <v>119301.01807679998</v>
      </c>
      <c r="L95" s="67" t="s">
        <v>41</v>
      </c>
      <c r="M95" s="138">
        <f t="shared" si="35"/>
        <v>119301</v>
      </c>
      <c r="N95" s="71" t="s">
        <v>37</v>
      </c>
      <c r="O95" s="70">
        <f t="shared" si="36"/>
        <v>119310</v>
      </c>
      <c r="P95" s="71" t="s">
        <v>37</v>
      </c>
      <c r="Q95" s="70"/>
      <c r="R95" s="71"/>
      <c r="S95" s="65"/>
      <c r="T95" s="485"/>
      <c r="U95" s="485"/>
      <c r="V95" s="485"/>
      <c r="W95" s="132" t="str">
        <f t="shared" ref="W95:W96" si="37">""&amp;TEXT($G$93,"0,0")&amp;" х "&amp;TEXT($I$93,"0,0")&amp;" раз х "&amp;TEXT(ROUND((K95),2),"0 000,00")&amp;" руб. = "&amp;TEXT(ROUND(M95,2),"0 000,00")&amp;" руб. = "&amp;TEXT(O95,"0 000,00")&amp;" руб."</f>
        <v>8760,0 х 12,0 раз х 119 301,02 руб. = 119 301,00 руб. = 119 310,00 руб.</v>
      </c>
    </row>
    <row r="96" spans="1:23" ht="21" customHeight="1" x14ac:dyDescent="0.25">
      <c r="A96" s="383"/>
      <c r="B96" s="377"/>
      <c r="C96" s="64"/>
      <c r="D96" s="379"/>
      <c r="E96" s="384"/>
      <c r="F96" s="68" t="str">
        <f>F16</f>
        <v>норматив на 2025 год :</v>
      </c>
      <c r="G96" s="137">
        <v>8760</v>
      </c>
      <c r="H96" s="67" t="str">
        <f>H94</f>
        <v xml:space="preserve">час х стоимость часа  х  индекс потребительских цен </v>
      </c>
      <c r="I96" s="137">
        <f>I95*1.0457</f>
        <v>14.241218561976</v>
      </c>
      <c r="J96" s="67" t="str">
        <f>J93</f>
        <v>руб. цена одного часа</v>
      </c>
      <c r="K96" s="138">
        <f t="shared" si="34"/>
        <v>124753.07460290976</v>
      </c>
      <c r="L96" s="67" t="s">
        <v>41</v>
      </c>
      <c r="M96" s="138">
        <f t="shared" si="35"/>
        <v>124753</v>
      </c>
      <c r="N96" s="71" t="s">
        <v>37</v>
      </c>
      <c r="O96" s="70">
        <f t="shared" si="36"/>
        <v>124760</v>
      </c>
      <c r="P96" s="71" t="s">
        <v>37</v>
      </c>
      <c r="Q96" s="70"/>
      <c r="R96" s="71"/>
      <c r="S96" s="65"/>
      <c r="T96" s="486"/>
      <c r="U96" s="486"/>
      <c r="V96" s="486"/>
      <c r="W96" s="132" t="str">
        <f t="shared" si="37"/>
        <v>8760,0 х 12,0 раз х 124 753,07 руб. = 124 753,00 руб. = 124 760,00 руб.</v>
      </c>
    </row>
    <row r="97" spans="1:24" ht="75" x14ac:dyDescent="0.25">
      <c r="A97" s="383" t="s">
        <v>131</v>
      </c>
      <c r="B97" s="376" t="s">
        <v>108</v>
      </c>
      <c r="C97" s="64"/>
      <c r="D97" s="378">
        <v>227</v>
      </c>
      <c r="E97" s="378">
        <v>244</v>
      </c>
      <c r="F97" s="380" t="s">
        <v>257</v>
      </c>
      <c r="G97" s="380"/>
      <c r="H97" s="380"/>
      <c r="I97" s="380"/>
      <c r="J97" s="380"/>
      <c r="K97" s="380"/>
      <c r="L97" s="380"/>
      <c r="M97" s="380"/>
      <c r="N97" s="380"/>
      <c r="O97" s="380"/>
      <c r="P97" s="380"/>
      <c r="Q97" s="380"/>
      <c r="R97" s="380"/>
      <c r="S97" s="65"/>
      <c r="T97" s="485">
        <f>M99</f>
        <v>11100</v>
      </c>
      <c r="U97" s="485">
        <f>O100</f>
        <v>11650</v>
      </c>
      <c r="V97" s="485">
        <f>O101</f>
        <v>12180</v>
      </c>
      <c r="W97" s="132" t="s">
        <v>71</v>
      </c>
    </row>
    <row r="98" spans="1:24" ht="15.75" customHeight="1" outlineLevel="1" x14ac:dyDescent="0.25">
      <c r="A98" s="383"/>
      <c r="B98" s="377"/>
      <c r="C98" s="64"/>
      <c r="D98" s="379"/>
      <c r="E98" s="384"/>
      <c r="F98" s="61"/>
      <c r="G98" s="134">
        <v>1</v>
      </c>
      <c r="H98" s="65"/>
      <c r="I98" s="134"/>
      <c r="J98" s="67"/>
      <c r="K98" s="134"/>
      <c r="L98" s="67"/>
      <c r="M98" s="67"/>
      <c r="N98" s="67"/>
      <c r="O98" s="67"/>
      <c r="P98" s="67"/>
      <c r="Q98" s="67"/>
      <c r="R98" s="65"/>
      <c r="S98" s="65"/>
      <c r="T98" s="485"/>
      <c r="U98" s="485"/>
      <c r="V98" s="485"/>
      <c r="W98" s="132"/>
    </row>
    <row r="99" spans="1:24" ht="19.5" customHeight="1" x14ac:dyDescent="0.25">
      <c r="A99" s="383"/>
      <c r="B99" s="377"/>
      <c r="C99" s="64"/>
      <c r="D99" s="379"/>
      <c r="E99" s="384"/>
      <c r="F99" s="68" t="str">
        <f>F14</f>
        <v>норматив на 2023 год :</v>
      </c>
      <c r="G99" s="134">
        <v>1</v>
      </c>
      <c r="H99" s="65" t="s">
        <v>256</v>
      </c>
      <c r="I99" s="138">
        <v>11100</v>
      </c>
      <c r="J99" s="67" t="s">
        <v>41</v>
      </c>
      <c r="K99" s="134">
        <f>I99*G99</f>
        <v>11100</v>
      </c>
      <c r="L99" s="67" t="s">
        <v>41</v>
      </c>
      <c r="M99" s="70">
        <f>ROUNDUP((K99),0)</f>
        <v>11100</v>
      </c>
      <c r="N99" s="71" t="s">
        <v>37</v>
      </c>
      <c r="O99" s="70">
        <f>ROUNDUP((M99),-1)</f>
        <v>11100</v>
      </c>
      <c r="P99" s="71" t="s">
        <v>37</v>
      </c>
      <c r="Q99" s="72"/>
      <c r="R99" s="72"/>
      <c r="S99" s="65"/>
      <c r="T99" s="485"/>
      <c r="U99" s="485"/>
      <c r="V99" s="485"/>
      <c r="W99" s="132" t="str">
        <f>""&amp;TEXT(G99,"0,0")&amp;" авт. х "&amp;TEXT(ROUND((I99),2),"0 000,00")&amp;" руб. = "&amp;TEXT(ROUND(($G$98*(ROUND((K99/$G$98),2))),2),"0 000,00")&amp;" руб. = "&amp;TEXT(M99,"0 000,00")&amp;" руб. = "&amp;TEXT(O99,"0 000,00")&amp;" руб."</f>
        <v>1,0 авт. х 11 100,00 руб. = 11 100,00 руб. = 11 100,00 руб. = 11 100,00 руб.</v>
      </c>
    </row>
    <row r="100" spans="1:24" ht="19.5" customHeight="1" x14ac:dyDescent="0.25">
      <c r="A100" s="383"/>
      <c r="B100" s="377"/>
      <c r="C100" s="64"/>
      <c r="D100" s="379"/>
      <c r="E100" s="384"/>
      <c r="F100" s="68" t="str">
        <f>F15</f>
        <v>норматив на 2024 год :</v>
      </c>
      <c r="G100" s="134">
        <v>1</v>
      </c>
      <c r="H100" s="65" t="s">
        <v>256</v>
      </c>
      <c r="I100" s="138">
        <f>I99*1.0487</f>
        <v>11640.57</v>
      </c>
      <c r="J100" s="67" t="s">
        <v>41</v>
      </c>
      <c r="K100" s="138">
        <f t="shared" ref="K100:K101" si="38">I100*G100</f>
        <v>11640.57</v>
      </c>
      <c r="L100" s="67" t="s">
        <v>41</v>
      </c>
      <c r="M100" s="70">
        <f t="shared" ref="M100:M101" si="39">ROUNDUP((K100),0)</f>
        <v>11641</v>
      </c>
      <c r="N100" s="71" t="s">
        <v>37</v>
      </c>
      <c r="O100" s="70">
        <f t="shared" ref="O100:O101" si="40">ROUNDUP((M100),-1)</f>
        <v>11650</v>
      </c>
      <c r="P100" s="71" t="s">
        <v>37</v>
      </c>
      <c r="Q100" s="72"/>
      <c r="R100" s="72"/>
      <c r="S100" s="65"/>
      <c r="T100" s="485"/>
      <c r="U100" s="485"/>
      <c r="V100" s="485"/>
      <c r="W100" s="132" t="str">
        <f>""&amp;TEXT(G100,"0,0")&amp;" авт. х "&amp;TEXT(ROUND((K100/$G$98),2),"0 000,00")&amp;" руб. = "&amp;TEXT(ROUND(($G$98*(ROUND((K100/$G$98),2))),2),"0 000,00")&amp;" руб. = "&amp;TEXT(M100,"0 000,00")&amp;" руб. = "&amp;TEXT(O100,"0 000,00")&amp;" руб."</f>
        <v>1,0 авт. х 11 640,57 руб. = 11 640,57 руб. = 11 641,00 руб. = 11 650,00 руб.</v>
      </c>
    </row>
    <row r="101" spans="1:24" s="95" customFormat="1" ht="19.5" customHeight="1" x14ac:dyDescent="0.25">
      <c r="A101" s="383"/>
      <c r="B101" s="377"/>
      <c r="C101" s="64"/>
      <c r="D101" s="379"/>
      <c r="E101" s="384"/>
      <c r="F101" s="68" t="str">
        <f>F16</f>
        <v>норматив на 2025 год :</v>
      </c>
      <c r="G101" s="134">
        <v>1</v>
      </c>
      <c r="H101" s="65" t="s">
        <v>256</v>
      </c>
      <c r="I101" s="138">
        <f>I100*1.0457</f>
        <v>12172.544049</v>
      </c>
      <c r="J101" s="67" t="s">
        <v>41</v>
      </c>
      <c r="K101" s="138">
        <f t="shared" si="38"/>
        <v>12172.544049</v>
      </c>
      <c r="L101" s="67" t="s">
        <v>41</v>
      </c>
      <c r="M101" s="70">
        <f t="shared" si="39"/>
        <v>12173</v>
      </c>
      <c r="N101" s="71" t="s">
        <v>37</v>
      </c>
      <c r="O101" s="70">
        <f t="shared" si="40"/>
        <v>12180</v>
      </c>
      <c r="P101" s="71" t="s">
        <v>37</v>
      </c>
      <c r="Q101" s="70"/>
      <c r="R101" s="71"/>
      <c r="S101" s="65"/>
      <c r="T101" s="486"/>
      <c r="U101" s="486"/>
      <c r="V101" s="486"/>
      <c r="W101" s="132" t="str">
        <f>""&amp;TEXT(G101,"0,0")&amp;" авт. х "&amp;TEXT(ROUND((K101/$G$98),2),"0 000,00")&amp;" руб. = "&amp;TEXT(ROUND(($G$98*(ROUND((K101/$G$98),2))),2),"0 000,00")&amp;" руб. = "&amp;TEXT(M101,"0 000,00")&amp;" руб. = "&amp;TEXT(O101,"0 000,00")&amp;" руб."</f>
        <v>1,0 авт. х 12 172,54 руб. = 12 172,54 руб. = 12 173,00 руб. = 12 180,00 руб.</v>
      </c>
      <c r="X101" s="94"/>
    </row>
    <row r="102" spans="1:24" s="95" customFormat="1" ht="106.5" customHeight="1" x14ac:dyDescent="0.25">
      <c r="A102" s="240" t="s">
        <v>14</v>
      </c>
      <c r="B102" s="262" t="s">
        <v>101</v>
      </c>
      <c r="C102" s="52"/>
      <c r="D102" s="244" t="s">
        <v>35</v>
      </c>
      <c r="E102" s="244" t="s">
        <v>35</v>
      </c>
      <c r="F102" s="423"/>
      <c r="G102" s="424"/>
      <c r="H102" s="424"/>
      <c r="I102" s="424"/>
      <c r="J102" s="424"/>
      <c r="K102" s="424"/>
      <c r="L102" s="424"/>
      <c r="M102" s="424"/>
      <c r="N102" s="424"/>
      <c r="O102" s="424"/>
      <c r="P102" s="424"/>
      <c r="Q102" s="424"/>
      <c r="R102" s="424"/>
      <c r="S102" s="424"/>
      <c r="T102" s="254">
        <f>SUM(T103:T121)</f>
        <v>3377860</v>
      </c>
      <c r="U102" s="254">
        <f>SUM(U103:U121)</f>
        <v>3542360</v>
      </c>
      <c r="V102" s="254">
        <f>SUM(V103:V121)</f>
        <v>3709450</v>
      </c>
      <c r="W102" s="86" t="str">
        <f>"Нормативные "&amp;TEXT(B102,"0")&amp;" включают в себя:
нормативные "&amp;TEXT(B103,"0")&amp;";
нормативные "&amp;TEXT(B107,"0")&amp;"; нормативные "&amp;TEXT(B112,"0")&amp;";
нормативные "&amp;TEXT(B117,"0")&amp;""</f>
        <v>Нормативные затраты на приобретение основных средств включают в себя:
нормативные затраты на приобретение комплекта  мебели;
нормативные затраты на приобретение систем кондиционирования; нормативные затраты на приобретение огнетушителей;
нормативные затраты на приобретение прочих основных средств (телефонный аппарат, стремянка, светильник, калькулятор, вентилятор, счетчик банкнот и т.п.)</v>
      </c>
    </row>
    <row r="103" spans="1:24" s="95" customFormat="1" ht="121.5" customHeight="1" x14ac:dyDescent="0.25">
      <c r="A103" s="388" t="s">
        <v>15</v>
      </c>
      <c r="B103" s="431" t="s">
        <v>261</v>
      </c>
      <c r="C103" s="64"/>
      <c r="D103" s="394">
        <v>310</v>
      </c>
      <c r="E103" s="394">
        <v>244</v>
      </c>
      <c r="F103" s="417" t="s">
        <v>260</v>
      </c>
      <c r="G103" s="418"/>
      <c r="H103" s="418"/>
      <c r="I103" s="418"/>
      <c r="J103" s="418"/>
      <c r="K103" s="418"/>
      <c r="L103" s="418"/>
      <c r="M103" s="418"/>
      <c r="N103" s="418"/>
      <c r="O103" s="418"/>
      <c r="P103" s="418"/>
      <c r="Q103" s="418"/>
      <c r="R103" s="419"/>
      <c r="S103" s="65"/>
      <c r="T103" s="482">
        <f>Q104</f>
        <v>1241660</v>
      </c>
      <c r="U103" s="482">
        <f>Q105</f>
        <v>1302130</v>
      </c>
      <c r="V103" s="482">
        <f>Q106</f>
        <v>1361630</v>
      </c>
      <c r="W103" s="132" t="s">
        <v>54</v>
      </c>
    </row>
    <row r="104" spans="1:24" s="95" customFormat="1" ht="21" customHeight="1" x14ac:dyDescent="0.25">
      <c r="A104" s="389"/>
      <c r="B104" s="432"/>
      <c r="C104" s="64"/>
      <c r="D104" s="395"/>
      <c r="E104" s="395"/>
      <c r="F104" s="68" t="str">
        <f>F14</f>
        <v>норматив на 2023 год :</v>
      </c>
      <c r="G104" s="134">
        <v>46635</v>
      </c>
      <c r="H104" s="67" t="s">
        <v>42</v>
      </c>
      <c r="I104" s="134">
        <v>213</v>
      </c>
      <c r="J104" s="67" t="s">
        <v>45</v>
      </c>
      <c r="K104" s="134">
        <v>8</v>
      </c>
      <c r="L104" s="67" t="s">
        <v>43</v>
      </c>
      <c r="M104" s="134">
        <v>0</v>
      </c>
      <c r="N104" s="67" t="s">
        <v>44</v>
      </c>
      <c r="O104" s="134">
        <f>ROUND((G104*(I104/K104+M104)),2)</f>
        <v>1241656.8799999999</v>
      </c>
      <c r="P104" s="67" t="s">
        <v>332</v>
      </c>
      <c r="Q104" s="70">
        <f t="shared" ref="Q104:Q106" si="41">ROUNDUP((O104),-1)</f>
        <v>1241660</v>
      </c>
      <c r="R104" s="71" t="s">
        <v>37</v>
      </c>
      <c r="S104" s="65"/>
      <c r="T104" s="483"/>
      <c r="U104" s="483"/>
      <c r="V104" s="483"/>
      <c r="W104" s="132" t="str">
        <f>"норматив "&amp;TEXT(G104,"0 000,00")&amp;" руб. х ("&amp;TEXT(I104,"000,00")&amp;" шт.ед. : срок "&amp;TEXT(K104,"0")&amp;" лет + "&amp;TEXT(M104,"0,00")&amp;" шт.ед.) = "&amp;TEXT(O104,"0 000,00")&amp;" руб. = "&amp;TEXT(Q104,"0 000,00")&amp;" руб."</f>
        <v>норматив 46 635,00 руб. х (213,00 шт.ед. : срок 8 лет + 0,00 шт.ед.) = 1 241 656,88 руб. = 1 241 660,00 руб.</v>
      </c>
      <c r="X104" s="94"/>
    </row>
    <row r="105" spans="1:24" s="95" customFormat="1" ht="21" customHeight="1" x14ac:dyDescent="0.25">
      <c r="A105" s="389"/>
      <c r="B105" s="432"/>
      <c r="C105" s="64"/>
      <c r="D105" s="395"/>
      <c r="E105" s="395"/>
      <c r="F105" s="68" t="str">
        <f>F15</f>
        <v>норматив на 2024 год :</v>
      </c>
      <c r="G105" s="134">
        <v>48906</v>
      </c>
      <c r="H105" s="67" t="s">
        <v>42</v>
      </c>
      <c r="I105" s="134">
        <v>213</v>
      </c>
      <c r="J105" s="67" t="s">
        <v>45</v>
      </c>
      <c r="K105" s="134">
        <v>8</v>
      </c>
      <c r="L105" s="67" t="s">
        <v>43</v>
      </c>
      <c r="M105" s="134">
        <v>0</v>
      </c>
      <c r="N105" s="67" t="s">
        <v>44</v>
      </c>
      <c r="O105" s="134">
        <f>ROUND((G105*(I105/K105+M105)),2)</f>
        <v>1302122.25</v>
      </c>
      <c r="P105" s="67" t="s">
        <v>332</v>
      </c>
      <c r="Q105" s="70">
        <f t="shared" si="41"/>
        <v>1302130</v>
      </c>
      <c r="R105" s="71" t="s">
        <v>37</v>
      </c>
      <c r="S105" s="65"/>
      <c r="T105" s="483"/>
      <c r="U105" s="483"/>
      <c r="V105" s="483"/>
      <c r="W105" s="132" t="str">
        <f t="shared" ref="W105:W106" si="42">"норматив "&amp;TEXT(G105,"0 000,00")&amp;" руб. х ("&amp;TEXT(I105,"000,00")&amp;" шт.ед. : срок "&amp;TEXT(K105,"0")&amp;" лет + "&amp;TEXT(M105,"0,00")&amp;" шт.ед.) = "&amp;TEXT(O105,"0 000,00")&amp;" руб. = "&amp;TEXT(Q105,"0 000,00")&amp;" руб."</f>
        <v>норматив 48 906,00 руб. х (213,00 шт.ед. : срок 8 лет + 0,00 шт.ед.) = 1 302 122,25 руб. = 1 302 130,00 руб.</v>
      </c>
      <c r="X105" s="94"/>
    </row>
    <row r="106" spans="1:24" s="95" customFormat="1" ht="21" customHeight="1" x14ac:dyDescent="0.25">
      <c r="A106" s="390"/>
      <c r="B106" s="433"/>
      <c r="C106" s="64"/>
      <c r="D106" s="396"/>
      <c r="E106" s="396"/>
      <c r="F106" s="68" t="str">
        <f>F16</f>
        <v>норматив на 2025 год :</v>
      </c>
      <c r="G106" s="134">
        <v>51141</v>
      </c>
      <c r="H106" s="67" t="s">
        <v>42</v>
      </c>
      <c r="I106" s="134">
        <v>213</v>
      </c>
      <c r="J106" s="67" t="s">
        <v>45</v>
      </c>
      <c r="K106" s="134">
        <v>8</v>
      </c>
      <c r="L106" s="67" t="s">
        <v>43</v>
      </c>
      <c r="M106" s="134">
        <v>0</v>
      </c>
      <c r="N106" s="67" t="s">
        <v>44</v>
      </c>
      <c r="O106" s="134">
        <f>ROUND((G106*(I106/K106+M106)),2)</f>
        <v>1361629.13</v>
      </c>
      <c r="P106" s="67" t="s">
        <v>332</v>
      </c>
      <c r="Q106" s="70">
        <f t="shared" si="41"/>
        <v>1361630</v>
      </c>
      <c r="R106" s="71" t="s">
        <v>37</v>
      </c>
      <c r="S106" s="61"/>
      <c r="T106" s="484"/>
      <c r="U106" s="484"/>
      <c r="V106" s="484"/>
      <c r="W106" s="132" t="str">
        <f t="shared" si="42"/>
        <v>норматив 51 141,00 руб. х (213,00 шт.ед. : срок 8 лет + 0,00 шт.ед.) = 1 361 629,13 руб. = 1 361 630,00 руб.</v>
      </c>
    </row>
    <row r="107" spans="1:24" ht="75" x14ac:dyDescent="0.25">
      <c r="A107" s="388" t="s">
        <v>181</v>
      </c>
      <c r="B107" s="391" t="s">
        <v>147</v>
      </c>
      <c r="C107" s="64"/>
      <c r="D107" s="378">
        <v>310</v>
      </c>
      <c r="E107" s="378">
        <v>244</v>
      </c>
      <c r="F107" s="380" t="s">
        <v>249</v>
      </c>
      <c r="G107" s="380"/>
      <c r="H107" s="380"/>
      <c r="I107" s="380"/>
      <c r="J107" s="380"/>
      <c r="K107" s="380"/>
      <c r="L107" s="380"/>
      <c r="M107" s="380"/>
      <c r="N107" s="380"/>
      <c r="O107" s="380"/>
      <c r="P107" s="380"/>
      <c r="Q107" s="380"/>
      <c r="R107" s="380"/>
      <c r="S107" s="65"/>
      <c r="T107" s="485">
        <f>O109</f>
        <v>1593830</v>
      </c>
      <c r="U107" s="485">
        <f>O110</f>
        <v>1671450</v>
      </c>
      <c r="V107" s="485">
        <f>O111</f>
        <v>1752850</v>
      </c>
      <c r="W107" s="132" t="s">
        <v>169</v>
      </c>
    </row>
    <row r="108" spans="1:24" ht="24" customHeight="1" outlineLevel="1" x14ac:dyDescent="0.25">
      <c r="A108" s="389"/>
      <c r="B108" s="392"/>
      <c r="C108" s="64"/>
      <c r="D108" s="378"/>
      <c r="E108" s="378"/>
      <c r="F108" s="61">
        <v>2022</v>
      </c>
      <c r="G108" s="134">
        <v>30</v>
      </c>
      <c r="H108" s="67" t="s">
        <v>78</v>
      </c>
      <c r="I108" s="134">
        <v>49092.21</v>
      </c>
      <c r="J108" s="67" t="s">
        <v>41</v>
      </c>
      <c r="K108" s="138">
        <f>ROUND((G108*I108),2)</f>
        <v>1472766.3</v>
      </c>
      <c r="L108" s="67" t="s">
        <v>37</v>
      </c>
      <c r="M108" s="70">
        <f>ROUNDUP((K108),0)</f>
        <v>1472767</v>
      </c>
      <c r="N108" s="71" t="s">
        <v>37</v>
      </c>
      <c r="O108" s="70">
        <f t="shared" ref="O108:O121" si="43">ROUNDUP((M108),-1)</f>
        <v>1472770</v>
      </c>
      <c r="P108" s="67" t="s">
        <v>332</v>
      </c>
      <c r="Q108" s="67"/>
      <c r="R108" s="65"/>
      <c r="S108" s="65"/>
      <c r="T108" s="485"/>
      <c r="U108" s="485"/>
      <c r="V108" s="485"/>
      <c r="W108" s="132"/>
    </row>
    <row r="109" spans="1:24" ht="24.75" customHeight="1" x14ac:dyDescent="0.25">
      <c r="A109" s="389"/>
      <c r="B109" s="429"/>
      <c r="C109" s="64"/>
      <c r="D109" s="379"/>
      <c r="E109" s="379"/>
      <c r="F109" s="68" t="str">
        <f>F14</f>
        <v>норматив на 2023 год :</v>
      </c>
      <c r="G109" s="134">
        <v>30</v>
      </c>
      <c r="H109" s="67" t="s">
        <v>78</v>
      </c>
      <c r="I109" s="69">
        <f>I108*1.0822</f>
        <v>53127.589661999998</v>
      </c>
      <c r="J109" s="67" t="s">
        <v>41</v>
      </c>
      <c r="K109" s="134">
        <f>ROUND((G109*I109),2)</f>
        <v>1593827.69</v>
      </c>
      <c r="L109" s="67" t="s">
        <v>41</v>
      </c>
      <c r="M109" s="70">
        <f t="shared" ref="M109:M111" si="44">ROUNDUP((K109),0)</f>
        <v>1593828</v>
      </c>
      <c r="N109" s="71" t="s">
        <v>37</v>
      </c>
      <c r="O109" s="70">
        <f t="shared" si="43"/>
        <v>1593830</v>
      </c>
      <c r="P109" s="67" t="s">
        <v>332</v>
      </c>
      <c r="Q109" s="67"/>
      <c r="R109" s="65"/>
      <c r="S109" s="65"/>
      <c r="T109" s="485"/>
      <c r="U109" s="485"/>
      <c r="V109" s="485"/>
      <c r="W109" s="132" t="str">
        <f>""&amp;TEXT(G109,"0,0")&amp;" шт. х "&amp;TEXT(ROUND((I109),2),"000,00")&amp;" руб. = "&amp;TEXT(ROUND(($G$119*(ROUND((K109/$G$119),2))),2),"0 000,00")&amp;" руб. = "&amp;TEXT(M109,"0 000,00")&amp;" руб. = "&amp;TEXT(O109,"0 000,00")&amp;" руб."</f>
        <v>30,0 шт. х 53127,59 руб. = 1 593 827,69 руб. = 1 593 828,00 руб. = 1 593 830,00 руб.</v>
      </c>
    </row>
    <row r="110" spans="1:24" ht="20.25" customHeight="1" outlineLevel="1" x14ac:dyDescent="0.25">
      <c r="A110" s="389"/>
      <c r="B110" s="429"/>
      <c r="C110" s="64"/>
      <c r="D110" s="379"/>
      <c r="E110" s="379"/>
      <c r="F110" s="68" t="str">
        <f>F15</f>
        <v>норматив на 2024 год :</v>
      </c>
      <c r="G110" s="134">
        <v>30</v>
      </c>
      <c r="H110" s="67" t="s">
        <v>78</v>
      </c>
      <c r="I110" s="69">
        <f>I109*1.0487</f>
        <v>55714.903278539394</v>
      </c>
      <c r="J110" s="67" t="s">
        <v>41</v>
      </c>
      <c r="K110" s="134">
        <f t="shared" ref="K110:K111" si="45">ROUND((G110*I110),2)</f>
        <v>1671447.1</v>
      </c>
      <c r="L110" s="67" t="s">
        <v>41</v>
      </c>
      <c r="M110" s="70">
        <f t="shared" si="44"/>
        <v>1671448</v>
      </c>
      <c r="N110" s="71" t="s">
        <v>37</v>
      </c>
      <c r="O110" s="70">
        <f t="shared" si="43"/>
        <v>1671450</v>
      </c>
      <c r="P110" s="67" t="s">
        <v>332</v>
      </c>
      <c r="Q110" s="93"/>
      <c r="R110" s="67"/>
      <c r="S110" s="65"/>
      <c r="T110" s="485"/>
      <c r="U110" s="485"/>
      <c r="V110" s="485"/>
      <c r="W110" s="132" t="str">
        <f>""&amp;TEXT(G110,"0,0")&amp;" шт. х "&amp;TEXT(ROUND((I110),2),"000,00")&amp;" руб. = "&amp;TEXT(ROUND(($G$119*(ROUND((K110/$G$119),2))),2),"0 000,00")&amp;" руб. = "&amp;TEXT(M110,"0 000,00")&amp;" руб. = "&amp;TEXT(O110,"0 000,00")&amp;" руб."</f>
        <v>30,0 шт. х 55714,90 руб. = 1 671 447,10 руб. = 1 671 448,00 руб. = 1 671 450,00 руб.</v>
      </c>
    </row>
    <row r="111" spans="1:24" ht="21" customHeight="1" outlineLevel="1" x14ac:dyDescent="0.25">
      <c r="A111" s="390"/>
      <c r="B111" s="430"/>
      <c r="C111" s="64"/>
      <c r="D111" s="379"/>
      <c r="E111" s="379"/>
      <c r="F111" s="68" t="str">
        <f>F16</f>
        <v>норматив на 2025 год :</v>
      </c>
      <c r="G111" s="134">
        <v>30</v>
      </c>
      <c r="H111" s="67" t="s">
        <v>78</v>
      </c>
      <c r="I111" s="69">
        <f>I110*1.0487</f>
        <v>58428.219068204264</v>
      </c>
      <c r="J111" s="67" t="s">
        <v>41</v>
      </c>
      <c r="K111" s="134">
        <f t="shared" si="45"/>
        <v>1752846.57</v>
      </c>
      <c r="L111" s="67" t="s">
        <v>41</v>
      </c>
      <c r="M111" s="70">
        <f t="shared" si="44"/>
        <v>1752847</v>
      </c>
      <c r="N111" s="71" t="s">
        <v>37</v>
      </c>
      <c r="O111" s="70">
        <f t="shared" si="43"/>
        <v>1752850</v>
      </c>
      <c r="P111" s="67" t="s">
        <v>332</v>
      </c>
      <c r="Q111" s="99"/>
      <c r="R111" s="71"/>
      <c r="S111" s="65"/>
      <c r="T111" s="485"/>
      <c r="U111" s="485"/>
      <c r="V111" s="485"/>
      <c r="W111" s="132" t="str">
        <f>""&amp;TEXT(G111,"0,0")&amp;" шт. х "&amp;TEXT(ROUND((I111),2),"000,00")&amp;" руб. = "&amp;TEXT(ROUND(($G$119*(ROUND((K111/$G$119),2))),2),"0 000,00")&amp;" руб. = "&amp;TEXT(M111,"0 000,00")&amp;" руб. = "&amp;TEXT(O111,"0 000,00")&amp;" руб."</f>
        <v>30,0 шт. х 58428,22 руб. = 1 752 846,57 руб. = 1 752 847,00 руб. = 1 752 850,00 руб.</v>
      </c>
    </row>
    <row r="112" spans="1:24" ht="90.75" customHeight="1" outlineLevel="1" x14ac:dyDescent="0.25">
      <c r="A112" s="388" t="s">
        <v>173</v>
      </c>
      <c r="B112" s="391" t="s">
        <v>295</v>
      </c>
      <c r="C112" s="64"/>
      <c r="D112" s="378">
        <v>310</v>
      </c>
      <c r="E112" s="378">
        <v>244</v>
      </c>
      <c r="F112" s="380" t="s">
        <v>249</v>
      </c>
      <c r="G112" s="380"/>
      <c r="H112" s="380"/>
      <c r="I112" s="380"/>
      <c r="J112" s="380"/>
      <c r="K112" s="380"/>
      <c r="L112" s="380"/>
      <c r="M112" s="380"/>
      <c r="N112" s="380"/>
      <c r="O112" s="380"/>
      <c r="P112" s="380"/>
      <c r="Q112" s="380"/>
      <c r="R112" s="380"/>
      <c r="S112" s="65"/>
      <c r="T112" s="485">
        <f>O114</f>
        <v>61740</v>
      </c>
      <c r="U112" s="485">
        <f>O115</f>
        <v>64750</v>
      </c>
      <c r="V112" s="485">
        <f>O116</f>
        <v>67900</v>
      </c>
      <c r="W112" s="152" t="s">
        <v>297</v>
      </c>
    </row>
    <row r="113" spans="1:23" ht="21" customHeight="1" outlineLevel="1" x14ac:dyDescent="0.25">
      <c r="A113" s="389"/>
      <c r="B113" s="392"/>
      <c r="C113" s="64"/>
      <c r="D113" s="378"/>
      <c r="E113" s="378"/>
      <c r="F113" s="61">
        <v>2022</v>
      </c>
      <c r="G113" s="153">
        <v>61</v>
      </c>
      <c r="H113" s="67" t="s">
        <v>78</v>
      </c>
      <c r="I113" s="153">
        <f>ROUNDUP((57046.87/61),2)</f>
        <v>935.2</v>
      </c>
      <c r="J113" s="67" t="s">
        <v>41</v>
      </c>
      <c r="K113" s="153">
        <f>ROUND((G113*I113),2)</f>
        <v>57047.199999999997</v>
      </c>
      <c r="L113" s="67" t="s">
        <v>37</v>
      </c>
      <c r="M113" s="67"/>
      <c r="N113" s="67"/>
      <c r="O113" s="67"/>
      <c r="P113" s="67"/>
      <c r="Q113" s="67"/>
      <c r="R113" s="65"/>
      <c r="S113" s="65"/>
      <c r="T113" s="485"/>
      <c r="U113" s="485"/>
      <c r="V113" s="485"/>
    </row>
    <row r="114" spans="1:23" ht="21" customHeight="1" outlineLevel="1" x14ac:dyDescent="0.25">
      <c r="A114" s="389"/>
      <c r="B114" s="429"/>
      <c r="C114" s="64"/>
      <c r="D114" s="379"/>
      <c r="E114" s="379"/>
      <c r="F114" s="68" t="str">
        <f>F14</f>
        <v>норматив на 2023 год :</v>
      </c>
      <c r="G114" s="153">
        <v>61</v>
      </c>
      <c r="H114" s="65" t="s">
        <v>294</v>
      </c>
      <c r="I114" s="153">
        <f>I113*1.0822</f>
        <v>1012.0734400000001</v>
      </c>
      <c r="J114" s="67" t="s">
        <v>41</v>
      </c>
      <c r="K114" s="153">
        <f>ROUND((G114*I114),2)</f>
        <v>61736.480000000003</v>
      </c>
      <c r="L114" s="67" t="s">
        <v>41</v>
      </c>
      <c r="M114" s="70">
        <f t="shared" ref="M114:M116" si="46">ROUNDUP((K114),0)</f>
        <v>61737</v>
      </c>
      <c r="N114" s="71" t="s">
        <v>37</v>
      </c>
      <c r="O114" s="70">
        <f t="shared" si="43"/>
        <v>61740</v>
      </c>
      <c r="P114" s="67" t="s">
        <v>332</v>
      </c>
      <c r="Q114" s="72"/>
      <c r="R114" s="72"/>
      <c r="S114" s="65"/>
      <c r="T114" s="485"/>
      <c r="U114" s="485"/>
      <c r="V114" s="485"/>
      <c r="W114" s="152" t="str">
        <f>""&amp;TEXT(G114,"0,0")&amp;" шт. х "&amp;TEXT(ROUND((K114/G114),2),"0,00")&amp;" руб. = "&amp;TEXT(ROUND((G114*(ROUND((K114/G114),2))),2),"0 000,00")&amp;" руб. = "&amp;TEXT(O114,"0 000,00")&amp;" руб."</f>
        <v>61,0 шт. х 1012,07 руб. = 61 736,27 руб. = 61 740,00 руб.</v>
      </c>
    </row>
    <row r="115" spans="1:23" ht="21" customHeight="1" outlineLevel="1" x14ac:dyDescent="0.25">
      <c r="A115" s="389"/>
      <c r="B115" s="429"/>
      <c r="C115" s="64"/>
      <c r="D115" s="379"/>
      <c r="E115" s="379"/>
      <c r="F115" s="68" t="str">
        <f>F15</f>
        <v>норматив на 2024 год :</v>
      </c>
      <c r="G115" s="153">
        <v>61</v>
      </c>
      <c r="H115" s="67" t="str">
        <f>H114</f>
        <v>шт. х средняя цена с индексом потребительских цен</v>
      </c>
      <c r="I115" s="153">
        <f>I114*1.0487</f>
        <v>1061.3614165280001</v>
      </c>
      <c r="J115" s="67" t="s">
        <v>41</v>
      </c>
      <c r="K115" s="153">
        <f t="shared" ref="K115:K116" si="47">ROUND((G115*I115),2)</f>
        <v>64743.05</v>
      </c>
      <c r="L115" s="67" t="s">
        <v>41</v>
      </c>
      <c r="M115" s="70">
        <f t="shared" si="46"/>
        <v>64744</v>
      </c>
      <c r="N115" s="71" t="s">
        <v>37</v>
      </c>
      <c r="O115" s="70">
        <f t="shared" si="43"/>
        <v>64750</v>
      </c>
      <c r="P115" s="67" t="s">
        <v>332</v>
      </c>
      <c r="Q115" s="72"/>
      <c r="R115" s="72"/>
      <c r="S115" s="65"/>
      <c r="T115" s="485"/>
      <c r="U115" s="485"/>
      <c r="V115" s="485"/>
      <c r="W115" s="152" t="str">
        <f t="shared" ref="W115:W116" si="48">""&amp;TEXT(G115,"0,0")&amp;" шт. х "&amp;TEXT(ROUND((K115/G115),2),"0,00")&amp;" руб. = "&amp;TEXT(ROUND((G115*(ROUND((K115/G115),2))),2),"0 000,00")&amp;" руб. = "&amp;TEXT(O115,"0 000,00")&amp;" руб."</f>
        <v>61,0 шт. х 1061,36 руб. = 64 742,96 руб. = 64 750,00 руб.</v>
      </c>
    </row>
    <row r="116" spans="1:23" ht="21" customHeight="1" outlineLevel="1" x14ac:dyDescent="0.25">
      <c r="A116" s="390"/>
      <c r="B116" s="430"/>
      <c r="C116" s="64"/>
      <c r="D116" s="379"/>
      <c r="E116" s="379"/>
      <c r="F116" s="68" t="str">
        <f>F16</f>
        <v>норматив на 2025 год :</v>
      </c>
      <c r="G116" s="153">
        <v>61</v>
      </c>
      <c r="H116" s="67" t="str">
        <f>H114</f>
        <v>шт. х средняя цена с индексом потребительских цен</v>
      </c>
      <c r="I116" s="153">
        <f>I115*1.0487</f>
        <v>1113.0497175129137</v>
      </c>
      <c r="J116" s="67" t="s">
        <v>41</v>
      </c>
      <c r="K116" s="153">
        <f t="shared" si="47"/>
        <v>67896.03</v>
      </c>
      <c r="L116" s="67" t="s">
        <v>41</v>
      </c>
      <c r="M116" s="70">
        <f t="shared" si="46"/>
        <v>67897</v>
      </c>
      <c r="N116" s="71" t="s">
        <v>37</v>
      </c>
      <c r="O116" s="70">
        <f t="shared" si="43"/>
        <v>67900</v>
      </c>
      <c r="P116" s="67" t="s">
        <v>332</v>
      </c>
      <c r="Q116" s="72"/>
      <c r="R116" s="72"/>
      <c r="S116" s="65"/>
      <c r="T116" s="485"/>
      <c r="U116" s="485"/>
      <c r="V116" s="485"/>
      <c r="W116" s="152" t="str">
        <f t="shared" si="48"/>
        <v>61,0 шт. х 1113,05 руб. = 67 896,05 руб. = 67 900,00 руб.</v>
      </c>
    </row>
    <row r="117" spans="1:23" ht="75" x14ac:dyDescent="0.25">
      <c r="A117" s="388" t="s">
        <v>298</v>
      </c>
      <c r="B117" s="531" t="s">
        <v>340</v>
      </c>
      <c r="C117" s="64"/>
      <c r="D117" s="378">
        <v>310</v>
      </c>
      <c r="E117" s="378">
        <v>244</v>
      </c>
      <c r="F117" s="380" t="s">
        <v>249</v>
      </c>
      <c r="G117" s="380"/>
      <c r="H117" s="380"/>
      <c r="I117" s="380"/>
      <c r="J117" s="380"/>
      <c r="K117" s="380"/>
      <c r="L117" s="380"/>
      <c r="M117" s="380"/>
      <c r="N117" s="380"/>
      <c r="O117" s="380"/>
      <c r="P117" s="380"/>
      <c r="Q117" s="380"/>
      <c r="R117" s="380"/>
      <c r="S117" s="65"/>
      <c r="T117" s="485">
        <f>O119</f>
        <v>480630</v>
      </c>
      <c r="U117" s="485">
        <f>O120</f>
        <v>504030</v>
      </c>
      <c r="V117" s="485">
        <f>O121</f>
        <v>527070</v>
      </c>
      <c r="W117" s="132" t="s">
        <v>170</v>
      </c>
    </row>
    <row r="118" spans="1:23" ht="21.75" customHeight="1" outlineLevel="1" x14ac:dyDescent="0.25">
      <c r="A118" s="389"/>
      <c r="B118" s="532"/>
      <c r="C118" s="64"/>
      <c r="D118" s="379"/>
      <c r="E118" s="379"/>
      <c r="F118" s="68">
        <v>2022</v>
      </c>
      <c r="G118" s="278">
        <v>1</v>
      </c>
      <c r="H118" s="67" t="s">
        <v>259</v>
      </c>
      <c r="I118" s="278">
        <f>444114.84</f>
        <v>444114.84</v>
      </c>
      <c r="J118" s="67" t="s">
        <v>41</v>
      </c>
      <c r="K118" s="138">
        <f>ROUND((G118*I118),2)</f>
        <v>444114.84</v>
      </c>
      <c r="L118" s="67" t="s">
        <v>37</v>
      </c>
      <c r="M118" s="70">
        <f>ROUNDUP((K118),0)</f>
        <v>444115</v>
      </c>
      <c r="N118" s="71" t="s">
        <v>37</v>
      </c>
      <c r="O118" s="70">
        <f t="shared" si="43"/>
        <v>444120</v>
      </c>
      <c r="P118" s="67" t="s">
        <v>332</v>
      </c>
      <c r="Q118" s="67"/>
      <c r="R118" s="65"/>
      <c r="S118" s="65"/>
      <c r="T118" s="485"/>
      <c r="U118" s="485"/>
      <c r="V118" s="485"/>
    </row>
    <row r="119" spans="1:23" ht="23.25" customHeight="1" x14ac:dyDescent="0.25">
      <c r="A119" s="389"/>
      <c r="B119" s="532"/>
      <c r="C119" s="64"/>
      <c r="D119" s="379"/>
      <c r="E119" s="379"/>
      <c r="F119" s="68" t="str">
        <f>F14</f>
        <v>норматив на 2023 год :</v>
      </c>
      <c r="G119" s="278">
        <v>1</v>
      </c>
      <c r="H119" s="67" t="s">
        <v>259</v>
      </c>
      <c r="I119" s="277">
        <f>I118*1.0822</f>
        <v>480621.07984800002</v>
      </c>
      <c r="J119" s="67" t="s">
        <v>41</v>
      </c>
      <c r="K119" s="134">
        <f>ROUND((G119*I119),2)</f>
        <v>480621.08</v>
      </c>
      <c r="L119" s="67" t="s">
        <v>41</v>
      </c>
      <c r="M119" s="70">
        <f t="shared" ref="M119:M121" si="49">ROUNDUP((K119),0)</f>
        <v>480622</v>
      </c>
      <c r="N119" s="71" t="s">
        <v>37</v>
      </c>
      <c r="O119" s="70">
        <f t="shared" si="43"/>
        <v>480630</v>
      </c>
      <c r="P119" s="67" t="s">
        <v>332</v>
      </c>
      <c r="Q119" s="67"/>
      <c r="R119" s="65"/>
      <c r="S119" s="65"/>
      <c r="T119" s="485"/>
      <c r="U119" s="485"/>
      <c r="V119" s="485"/>
      <c r="W119" s="132" t="str">
        <f>""&amp;TEXT($G$119,"0,0")&amp;" шт. х "&amp;TEXT(ROUND((K119/$G$119),2),"000,00")&amp;" руб. = "&amp;TEXT(ROUND(($G$119*(ROUND((K119/$G$119),2))),2),"0 000,00")&amp;" руб. = "&amp;TEXT(M119,"0 000,00")&amp;" руб.= "&amp;TEXT(O119,"0 000,00")&amp;" руб."</f>
        <v>1,0 шт. х 480621,08 руб. = 480 621,08 руб. = 480 622,00 руб.= 480 630,00 руб.</v>
      </c>
    </row>
    <row r="120" spans="1:23" ht="18" customHeight="1" outlineLevel="1" x14ac:dyDescent="0.25">
      <c r="A120" s="389"/>
      <c r="B120" s="532"/>
      <c r="C120" s="64"/>
      <c r="D120" s="379"/>
      <c r="E120" s="379"/>
      <c r="F120" s="68" t="str">
        <f>F15</f>
        <v>норматив на 2024 год :</v>
      </c>
      <c r="G120" s="278">
        <v>1</v>
      </c>
      <c r="H120" s="67" t="s">
        <v>259</v>
      </c>
      <c r="I120" s="277">
        <f>I119*1.0487</f>
        <v>504027.32643659762</v>
      </c>
      <c r="J120" s="67" t="s">
        <v>41</v>
      </c>
      <c r="K120" s="134">
        <f t="shared" ref="K120:K121" si="50">ROUND((G120*I120),2)</f>
        <v>504027.33</v>
      </c>
      <c r="L120" s="67" t="s">
        <v>41</v>
      </c>
      <c r="M120" s="70">
        <f t="shared" si="49"/>
        <v>504028</v>
      </c>
      <c r="N120" s="71" t="s">
        <v>37</v>
      </c>
      <c r="O120" s="70">
        <f t="shared" si="43"/>
        <v>504030</v>
      </c>
      <c r="P120" s="67" t="s">
        <v>332</v>
      </c>
      <c r="Q120" s="93"/>
      <c r="R120" s="67"/>
      <c r="S120" s="65"/>
      <c r="T120" s="485"/>
      <c r="U120" s="485"/>
      <c r="V120" s="485"/>
      <c r="W120" s="132" t="str">
        <f>""&amp;TEXT($G$119,"0,0")&amp;" шт. х "&amp;TEXT(ROUND((K120/$G$119),2),"000,00")&amp;" руб. = "&amp;TEXT(ROUND(($G$119*(ROUND((K120/$G$119),2))),2),"0 000,00")&amp;" руб. = "&amp;TEXT(M120,"0 000,00")&amp;" руб.= "&amp;TEXT(O120,"0 000,00")&amp;" руб."</f>
        <v>1,0 шт. х 504027,33 руб. = 504 027,33 руб. = 504 028,00 руб.= 504 030,00 руб.</v>
      </c>
    </row>
    <row r="121" spans="1:23" ht="19.5" customHeight="1" outlineLevel="1" x14ac:dyDescent="0.25">
      <c r="A121" s="390"/>
      <c r="B121" s="533"/>
      <c r="C121" s="64"/>
      <c r="D121" s="379"/>
      <c r="E121" s="379"/>
      <c r="F121" s="68" t="str">
        <f>F16</f>
        <v>норматив на 2025 год :</v>
      </c>
      <c r="G121" s="278">
        <v>1</v>
      </c>
      <c r="H121" s="67" t="s">
        <v>259</v>
      </c>
      <c r="I121" s="277">
        <f>I120*1.0457</f>
        <v>527061.37525475014</v>
      </c>
      <c r="J121" s="67" t="s">
        <v>41</v>
      </c>
      <c r="K121" s="134">
        <f t="shared" si="50"/>
        <v>527061.38</v>
      </c>
      <c r="L121" s="67" t="s">
        <v>41</v>
      </c>
      <c r="M121" s="70">
        <f t="shared" si="49"/>
        <v>527062</v>
      </c>
      <c r="N121" s="71" t="s">
        <v>37</v>
      </c>
      <c r="O121" s="70">
        <f t="shared" si="43"/>
        <v>527070</v>
      </c>
      <c r="P121" s="67" t="s">
        <v>332</v>
      </c>
      <c r="Q121" s="99"/>
      <c r="R121" s="71"/>
      <c r="S121" s="65"/>
      <c r="T121" s="485"/>
      <c r="U121" s="485"/>
      <c r="V121" s="485"/>
      <c r="W121" s="132" t="str">
        <f>""&amp;TEXT($G$119,"0,0")&amp;" шт. х "&amp;TEXT(ROUND((K121/$G$119),2),"000,00")&amp;" руб. = "&amp;TEXT(ROUND(($G$119*(ROUND((K121/$G$119),2))),2),"0 000,00")&amp;" руб. = "&amp;TEXT(M121,"0 000,00")&amp;" руб.= "&amp;TEXT(O121,"0 000,00")&amp;" руб."</f>
        <v>1,0 шт. х 527061,38 руб. = 527 061,38 руб. = 527 062,00 руб.= 527 070,00 руб.</v>
      </c>
    </row>
    <row r="122" spans="1:23" ht="96" customHeight="1" x14ac:dyDescent="0.25">
      <c r="A122" s="241" t="s">
        <v>16</v>
      </c>
      <c r="B122" s="258" t="s">
        <v>97</v>
      </c>
      <c r="C122" s="52"/>
      <c r="D122" s="133" t="s">
        <v>35</v>
      </c>
      <c r="E122" s="133" t="s">
        <v>35</v>
      </c>
      <c r="F122" s="423"/>
      <c r="G122" s="424"/>
      <c r="H122" s="424"/>
      <c r="I122" s="424"/>
      <c r="J122" s="424"/>
      <c r="K122" s="424"/>
      <c r="L122" s="424"/>
      <c r="M122" s="424"/>
      <c r="N122" s="424"/>
      <c r="O122" s="424"/>
      <c r="P122" s="424"/>
      <c r="Q122" s="424"/>
      <c r="R122" s="424"/>
      <c r="S122" s="424"/>
      <c r="T122" s="255">
        <f>SUM(T123:T166)</f>
        <v>5709290</v>
      </c>
      <c r="U122" s="255">
        <f t="shared" ref="U122:V122" si="51">SUM(U123:U166)</f>
        <v>5987430</v>
      </c>
      <c r="V122" s="255">
        <f t="shared" si="51"/>
        <v>6261040</v>
      </c>
      <c r="W122" s="132" t="str">
        <f>"Нормативные "&amp;TEXT(B122,"0")&amp;" включают в себя:
нормативные "&amp;TEXT(B123,"0")&amp;";
нормативные "&amp;TEXT(B127,"0")&amp;"; нормативные "&amp;TEXT(B136,"0")&amp;";
нормативные "&amp;TEXT(B162,"0")&amp;""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набора канцелярских принадлежностей;
нормативные затраты на приобретение горюче-смазочных материалов; нормативные 0;
нормативные затраты на приобретение масок медицинских одноразовых</v>
      </c>
    </row>
    <row r="123" spans="1:23" ht="85.5" customHeight="1" x14ac:dyDescent="0.25">
      <c r="A123" s="383" t="s">
        <v>17</v>
      </c>
      <c r="B123" s="376" t="s">
        <v>263</v>
      </c>
      <c r="C123" s="64"/>
      <c r="D123" s="378">
        <v>346</v>
      </c>
      <c r="E123" s="378">
        <v>244</v>
      </c>
      <c r="F123" s="380" t="s">
        <v>262</v>
      </c>
      <c r="G123" s="380"/>
      <c r="H123" s="380"/>
      <c r="I123" s="380"/>
      <c r="J123" s="380"/>
      <c r="K123" s="380"/>
      <c r="L123" s="380"/>
      <c r="M123" s="380"/>
      <c r="N123" s="380"/>
      <c r="O123" s="380"/>
      <c r="P123" s="380"/>
      <c r="Q123" s="380"/>
      <c r="R123" s="380"/>
      <c r="S123" s="65"/>
      <c r="T123" s="485">
        <f>O124</f>
        <v>4081300</v>
      </c>
      <c r="U123" s="485">
        <f>O125</f>
        <v>4280030</v>
      </c>
      <c r="V123" s="485">
        <f>O126</f>
        <v>4475560</v>
      </c>
      <c r="W123" s="132" t="s">
        <v>264</v>
      </c>
    </row>
    <row r="124" spans="1:23" ht="21.75" customHeight="1" x14ac:dyDescent="0.25">
      <c r="A124" s="383"/>
      <c r="B124" s="377"/>
      <c r="C124" s="64"/>
      <c r="D124" s="379"/>
      <c r="E124" s="379"/>
      <c r="F124" s="68" t="str">
        <f>F14</f>
        <v>норматив на 2023 год :</v>
      </c>
      <c r="G124" s="134">
        <v>213</v>
      </c>
      <c r="H124" s="67" t="s">
        <v>48</v>
      </c>
      <c r="I124" s="134">
        <v>19161</v>
      </c>
      <c r="J124" s="67" t="s">
        <v>41</v>
      </c>
      <c r="K124" s="134">
        <f>ROUND((G124*I124),2)</f>
        <v>4081293</v>
      </c>
      <c r="L124" s="67" t="s">
        <v>41</v>
      </c>
      <c r="M124" s="70">
        <f>ROUNDDOWN((K124),0)</f>
        <v>4081293</v>
      </c>
      <c r="N124" s="71" t="s">
        <v>37</v>
      </c>
      <c r="O124" s="70">
        <f t="shared" ref="O124:O126" si="52">ROUNDUP((M124),-1)</f>
        <v>4081300</v>
      </c>
      <c r="P124" s="67" t="s">
        <v>332</v>
      </c>
      <c r="Q124" s="67"/>
      <c r="R124" s="65"/>
      <c r="S124" s="65"/>
      <c r="T124" s="485"/>
      <c r="U124" s="485"/>
      <c r="V124" s="485"/>
      <c r="W124" s="132" t="str">
        <f>""&amp;TEXT(G124,"000,00")&amp;" шт.ед. х норматив "&amp;TEXT(I124,"0 000,00")&amp;" руб. = "&amp;TEXT(K124,"0 000,00")&amp;" руб. = "&amp;TEXT(M124,"0 000,00")&amp;" руб.= "&amp;TEXT(O124,"0 000,00")&amp;" руб."</f>
        <v>213,00 шт.ед. х норматив 19 161,00 руб. = 4 081 293,00 руб. = 4 081 293,00 руб.= 4 081 300,00 руб.</v>
      </c>
    </row>
    <row r="125" spans="1:23" ht="18.75" customHeight="1" x14ac:dyDescent="0.25">
      <c r="A125" s="383"/>
      <c r="B125" s="377"/>
      <c r="C125" s="64"/>
      <c r="D125" s="379"/>
      <c r="E125" s="379"/>
      <c r="F125" s="68" t="str">
        <f>F15</f>
        <v>норматив на 2024 год :</v>
      </c>
      <c r="G125" s="134">
        <v>213</v>
      </c>
      <c r="H125" s="67" t="s">
        <v>48</v>
      </c>
      <c r="I125" s="134">
        <v>20094</v>
      </c>
      <c r="J125" s="67" t="s">
        <v>41</v>
      </c>
      <c r="K125" s="134">
        <f t="shared" ref="K125:K126" si="53">ROUND((G125*I125),2)</f>
        <v>4280022</v>
      </c>
      <c r="L125" s="67" t="s">
        <v>41</v>
      </c>
      <c r="M125" s="70">
        <f t="shared" ref="M125:M126" si="54">ROUNDDOWN((K125),0)</f>
        <v>4280022</v>
      </c>
      <c r="N125" s="71" t="s">
        <v>37</v>
      </c>
      <c r="O125" s="70">
        <f t="shared" si="52"/>
        <v>4280030</v>
      </c>
      <c r="P125" s="67" t="s">
        <v>332</v>
      </c>
      <c r="Q125" s="67"/>
      <c r="R125" s="65"/>
      <c r="S125" s="65"/>
      <c r="T125" s="485"/>
      <c r="U125" s="485"/>
      <c r="V125" s="485"/>
      <c r="W125" s="132" t="str">
        <f>""&amp;TEXT(G125,"000,00")&amp;" шт.ед. х норматив "&amp;TEXT(I125,"0 000,00")&amp;" руб. = "&amp;TEXT(K125,"0 000,00")&amp;" руб. = "&amp;TEXT(M125,"0 000,00")&amp;" руб.= "&amp;TEXT(O125,"0 000,00")&amp;" руб."</f>
        <v>213,00 шт.ед. х норматив 20 094,00 руб. = 4 280 022,00 руб. = 4 280 022,00 руб.= 4 280 030,00 руб.</v>
      </c>
    </row>
    <row r="126" spans="1:23" ht="18.75" customHeight="1" x14ac:dyDescent="0.25">
      <c r="A126" s="383"/>
      <c r="B126" s="377"/>
      <c r="C126" s="64"/>
      <c r="D126" s="379"/>
      <c r="E126" s="379"/>
      <c r="F126" s="68" t="str">
        <f>F16</f>
        <v>норматив на 2025 год :</v>
      </c>
      <c r="G126" s="134">
        <v>213</v>
      </c>
      <c r="H126" s="67" t="s">
        <v>48</v>
      </c>
      <c r="I126" s="134">
        <v>21012</v>
      </c>
      <c r="J126" s="67" t="s">
        <v>41</v>
      </c>
      <c r="K126" s="134">
        <f t="shared" si="53"/>
        <v>4475556</v>
      </c>
      <c r="L126" s="67" t="s">
        <v>41</v>
      </c>
      <c r="M126" s="70">
        <f t="shared" si="54"/>
        <v>4475556</v>
      </c>
      <c r="N126" s="71" t="s">
        <v>37</v>
      </c>
      <c r="O126" s="70">
        <f t="shared" si="52"/>
        <v>4475560</v>
      </c>
      <c r="P126" s="67" t="s">
        <v>332</v>
      </c>
      <c r="Q126" s="67"/>
      <c r="R126" s="65"/>
      <c r="S126" s="65"/>
      <c r="T126" s="485"/>
      <c r="U126" s="485"/>
      <c r="V126" s="485"/>
      <c r="W126" s="132" t="str">
        <f>""&amp;TEXT(G126,"000,00")&amp;" шт.ед. х норматив "&amp;TEXT(I126,"0 000,00")&amp;" руб. = "&amp;TEXT(K126,"0 000,00")&amp;" руб. = "&amp;TEXT(M126,"0 000,00")&amp;" руб.= "&amp;TEXT(O126,"0 000,00")&amp;" руб."</f>
        <v>213,00 шт.ед. х норматив 21 012,00 руб. = 4 475 556,00 руб. = 4 475 556,00 руб.= 4 475 560,00 руб.</v>
      </c>
    </row>
    <row r="127" spans="1:23" s="239" customFormat="1" ht="117.75" customHeight="1" x14ac:dyDescent="0.25">
      <c r="A127" s="383" t="s">
        <v>18</v>
      </c>
      <c r="B127" s="376" t="s">
        <v>100</v>
      </c>
      <c r="C127" s="64"/>
      <c r="D127" s="394">
        <v>343</v>
      </c>
      <c r="E127" s="394">
        <v>244</v>
      </c>
      <c r="F127" s="380" t="s">
        <v>331</v>
      </c>
      <c r="G127" s="380"/>
      <c r="H127" s="380"/>
      <c r="I127" s="380"/>
      <c r="J127" s="380"/>
      <c r="K127" s="380"/>
      <c r="L127" s="380"/>
      <c r="M127" s="380"/>
      <c r="N127" s="380"/>
      <c r="O127" s="380"/>
      <c r="P127" s="380"/>
      <c r="Q127" s="380"/>
      <c r="R127" s="380"/>
      <c r="S127" s="420">
        <f>M129</f>
        <v>42672</v>
      </c>
      <c r="T127" s="482">
        <f>O129</f>
        <v>42680</v>
      </c>
      <c r="U127" s="482">
        <f>O130</f>
        <v>44760</v>
      </c>
      <c r="V127" s="482">
        <f>O131</f>
        <v>46800</v>
      </c>
      <c r="W127" s="152" t="s">
        <v>302</v>
      </c>
    </row>
    <row r="128" spans="1:23" s="239" customFormat="1" ht="19.5" customHeight="1" x14ac:dyDescent="0.25">
      <c r="A128" s="383"/>
      <c r="B128" s="377"/>
      <c r="C128" s="64"/>
      <c r="D128" s="395"/>
      <c r="E128" s="395"/>
      <c r="F128" s="61"/>
      <c r="G128" s="153">
        <v>800</v>
      </c>
      <c r="H128" s="67" t="s">
        <v>303</v>
      </c>
      <c r="I128" s="153"/>
      <c r="J128" s="67" t="s">
        <v>41</v>
      </c>
      <c r="K128" s="153">
        <f>ROUND((G128*I128),2)</f>
        <v>0</v>
      </c>
      <c r="L128" s="67" t="s">
        <v>37</v>
      </c>
      <c r="M128" s="67"/>
      <c r="N128" s="67"/>
      <c r="O128" s="70">
        <f t="shared" ref="O128:O131" si="55">ROUNDUP((M128),-1)</f>
        <v>0</v>
      </c>
      <c r="P128" s="67"/>
      <c r="Q128" s="67"/>
      <c r="R128" s="65"/>
      <c r="S128" s="421"/>
      <c r="T128" s="483"/>
      <c r="U128" s="483"/>
      <c r="V128" s="483"/>
      <c r="W128" s="152"/>
    </row>
    <row r="129" spans="1:23" s="239" customFormat="1" ht="19.5" customHeight="1" x14ac:dyDescent="0.25">
      <c r="A129" s="383"/>
      <c r="B129" s="377"/>
      <c r="C129" s="64"/>
      <c r="D129" s="395"/>
      <c r="E129" s="395"/>
      <c r="F129" s="68" t="str">
        <f>F14</f>
        <v>норматив на 2023 год :</v>
      </c>
      <c r="G129" s="153">
        <v>800</v>
      </c>
      <c r="H129" s="65" t="s">
        <v>304</v>
      </c>
      <c r="I129" s="69">
        <v>53.34</v>
      </c>
      <c r="J129" s="67" t="s">
        <v>41</v>
      </c>
      <c r="K129" s="153">
        <f>ROUND((G129*I129),2)</f>
        <v>42672</v>
      </c>
      <c r="L129" s="67" t="s">
        <v>41</v>
      </c>
      <c r="M129" s="70">
        <f>ROUNDDOWN((K129),0)</f>
        <v>42672</v>
      </c>
      <c r="N129" s="71" t="s">
        <v>37</v>
      </c>
      <c r="O129" s="70">
        <f t="shared" si="55"/>
        <v>42680</v>
      </c>
      <c r="P129" s="67" t="s">
        <v>332</v>
      </c>
      <c r="Q129" s="72"/>
      <c r="R129" s="72"/>
      <c r="S129" s="421"/>
      <c r="T129" s="483"/>
      <c r="U129" s="483"/>
      <c r="V129" s="483"/>
      <c r="W129" s="152" t="str">
        <f>""&amp;TEXT(G129,"0,0")&amp;" л. х "&amp;TEXT(ROUND((K129/G129),2),"0,00")&amp;" руб. = "&amp;TEXT(ROUND((G129*(ROUND((K129/G129),2))),2),"0 000,00")&amp;" руб. = "&amp;TEXT(O129,"0 000,00")&amp;" руб."</f>
        <v>800,0 л. х 53,34 руб. = 42 672,00 руб. = 42 680,00 руб.</v>
      </c>
    </row>
    <row r="130" spans="1:23" s="239" customFormat="1" ht="19.5" customHeight="1" x14ac:dyDescent="0.25">
      <c r="A130" s="383"/>
      <c r="B130" s="377"/>
      <c r="C130" s="64"/>
      <c r="D130" s="395"/>
      <c r="E130" s="395"/>
      <c r="F130" s="68" t="str">
        <f>F15</f>
        <v>норматив на 2024 год :</v>
      </c>
      <c r="G130" s="153">
        <v>800</v>
      </c>
      <c r="H130" s="67" t="str">
        <f>H129</f>
        <v>л. х средняя цена с индексом потребительских цен =</v>
      </c>
      <c r="I130" s="69">
        <f>ROUNDUP(I129*(1.0487),2)</f>
        <v>55.94</v>
      </c>
      <c r="J130" s="67" t="s">
        <v>41</v>
      </c>
      <c r="K130" s="153">
        <f t="shared" ref="K130:K131" si="56">ROUND((G130*I130),2)</f>
        <v>44752</v>
      </c>
      <c r="L130" s="67" t="s">
        <v>41</v>
      </c>
      <c r="M130" s="70">
        <f t="shared" ref="M130:M131" si="57">ROUNDDOWN((K130),0)</f>
        <v>44752</v>
      </c>
      <c r="N130" s="71" t="s">
        <v>37</v>
      </c>
      <c r="O130" s="70">
        <f t="shared" si="55"/>
        <v>44760</v>
      </c>
      <c r="P130" s="67" t="s">
        <v>332</v>
      </c>
      <c r="Q130" s="72"/>
      <c r="R130" s="72"/>
      <c r="S130" s="421"/>
      <c r="T130" s="483"/>
      <c r="U130" s="483"/>
      <c r="V130" s="483"/>
      <c r="W130" s="152" t="str">
        <f>""&amp;TEXT(G130,"0,0")&amp;" л. х "&amp;TEXT(ROUND((K130/G130),2),"0,00")&amp;" руб. = "&amp;TEXT(ROUND((G130*(ROUND((K130/G130),2))),2),"0 000,00")&amp;" руб. = "&amp;TEXT(O130,"0 000,00")&amp;" руб."</f>
        <v>800,0 л. х 55,94 руб. = 44 752,00 руб. = 44 760,00 руб.</v>
      </c>
    </row>
    <row r="131" spans="1:23" ht="24" customHeight="1" x14ac:dyDescent="0.25">
      <c r="A131" s="383"/>
      <c r="B131" s="377"/>
      <c r="C131" s="64"/>
      <c r="D131" s="396"/>
      <c r="E131" s="396"/>
      <c r="F131" s="68" t="str">
        <f>F16</f>
        <v>норматив на 2025 год :</v>
      </c>
      <c r="G131" s="153">
        <v>800</v>
      </c>
      <c r="H131" s="67" t="str">
        <f>H129</f>
        <v>л. х средняя цена с индексом потребительских цен =</v>
      </c>
      <c r="I131" s="69">
        <f>ROUNDUP(I130*(1.0457),2)</f>
        <v>58.5</v>
      </c>
      <c r="J131" s="67" t="s">
        <v>41</v>
      </c>
      <c r="K131" s="153">
        <f t="shared" si="56"/>
        <v>46800</v>
      </c>
      <c r="L131" s="67" t="s">
        <v>41</v>
      </c>
      <c r="M131" s="70">
        <f t="shared" si="57"/>
        <v>46800</v>
      </c>
      <c r="N131" s="71" t="s">
        <v>37</v>
      </c>
      <c r="O131" s="70">
        <f t="shared" si="55"/>
        <v>46800</v>
      </c>
      <c r="P131" s="67" t="s">
        <v>332</v>
      </c>
      <c r="Q131" s="72"/>
      <c r="R131" s="72"/>
      <c r="S131" s="422"/>
      <c r="T131" s="484"/>
      <c r="U131" s="484"/>
      <c r="V131" s="484"/>
      <c r="W131" s="152" t="str">
        <f>""&amp;TEXT(G131,"0,0")&amp;" л. х "&amp;TEXT(ROUND((K131/G131),2),"0,00")&amp;" руб. = "&amp;TEXT(ROUND((G131*(ROUND((K131/G131),2))),2),"0 000,00")&amp;" руб. = "&amp;TEXT(O131,"0 000,00")&amp;" руб."</f>
        <v>800,0 л. х 58,50 руб. = 46 800,00 руб. = 46 800,00 руб.</v>
      </c>
    </row>
    <row r="132" spans="1:23" ht="132" customHeight="1" outlineLevel="1" x14ac:dyDescent="0.25">
      <c r="A132" s="383" t="s">
        <v>26</v>
      </c>
      <c r="B132" s="376" t="s">
        <v>305</v>
      </c>
      <c r="C132" s="64"/>
      <c r="D132" s="378">
        <v>345</v>
      </c>
      <c r="E132" s="378">
        <v>244</v>
      </c>
      <c r="F132" s="380" t="s">
        <v>249</v>
      </c>
      <c r="G132" s="380"/>
      <c r="H132" s="380"/>
      <c r="I132" s="380"/>
      <c r="J132" s="380"/>
      <c r="K132" s="380"/>
      <c r="L132" s="380"/>
      <c r="M132" s="380"/>
      <c r="N132" s="380"/>
      <c r="O132" s="380"/>
      <c r="P132" s="380"/>
      <c r="Q132" s="380"/>
      <c r="R132" s="380"/>
      <c r="S132" s="477">
        <f>M134</f>
        <v>840328</v>
      </c>
      <c r="T132" s="485">
        <f>O134</f>
        <v>840330</v>
      </c>
      <c r="U132" s="485">
        <f>O135</f>
        <v>881260</v>
      </c>
      <c r="V132" s="485">
        <f>O136</f>
        <v>921530</v>
      </c>
      <c r="W132" s="152" t="s">
        <v>306</v>
      </c>
    </row>
    <row r="133" spans="1:23" ht="18.75" customHeight="1" x14ac:dyDescent="0.25">
      <c r="A133" s="383"/>
      <c r="B133" s="377"/>
      <c r="C133" s="64"/>
      <c r="D133" s="379"/>
      <c r="E133" s="384"/>
      <c r="F133" s="61">
        <v>2022</v>
      </c>
      <c r="G133" s="153">
        <v>224</v>
      </c>
      <c r="H133" s="67" t="s">
        <v>78</v>
      </c>
      <c r="I133" s="153">
        <v>3466.51</v>
      </c>
      <c r="J133" s="67" t="s">
        <v>41</v>
      </c>
      <c r="K133" s="153">
        <f>ROUND((G133*I133),2)</f>
        <v>776498.24</v>
      </c>
      <c r="L133" s="67" t="s">
        <v>37</v>
      </c>
      <c r="M133" s="67"/>
      <c r="N133" s="67"/>
      <c r="O133" s="70">
        <f t="shared" ref="O133:O136" si="58">ROUNDUP((M133),-1)</f>
        <v>0</v>
      </c>
      <c r="P133" s="67"/>
      <c r="Q133" s="67"/>
      <c r="R133" s="65"/>
      <c r="S133" s="477"/>
      <c r="T133" s="485"/>
      <c r="U133" s="485"/>
      <c r="V133" s="485"/>
      <c r="W133" s="152"/>
    </row>
    <row r="134" spans="1:23" ht="18.75" customHeight="1" x14ac:dyDescent="0.25">
      <c r="A134" s="383"/>
      <c r="B134" s="377"/>
      <c r="C134" s="64"/>
      <c r="D134" s="379"/>
      <c r="E134" s="384"/>
      <c r="F134" s="68" t="str">
        <f>F14</f>
        <v>норматив на 2023 год :</v>
      </c>
      <c r="G134" s="153">
        <v>224</v>
      </c>
      <c r="H134" s="65" t="s">
        <v>294</v>
      </c>
      <c r="I134" s="69">
        <f>ROUNDUP(I133*1.0822,2)</f>
        <v>3751.46</v>
      </c>
      <c r="J134" s="67" t="s">
        <v>41</v>
      </c>
      <c r="K134" s="153">
        <f>G134*I134</f>
        <v>840327.04</v>
      </c>
      <c r="L134" s="67" t="s">
        <v>41</v>
      </c>
      <c r="M134" s="70">
        <f>ROUNDUP((K134),0)</f>
        <v>840328</v>
      </c>
      <c r="N134" s="71" t="s">
        <v>37</v>
      </c>
      <c r="O134" s="70">
        <f t="shared" si="58"/>
        <v>840330</v>
      </c>
      <c r="P134" s="67" t="s">
        <v>332</v>
      </c>
      <c r="Q134" s="72"/>
      <c r="R134" s="72"/>
      <c r="S134" s="477"/>
      <c r="T134" s="485"/>
      <c r="U134" s="485"/>
      <c r="V134" s="485"/>
      <c r="W134" s="152" t="str">
        <f>""&amp;TEXT(G134,"0,0")&amp;" шт. х "&amp;TEXT(ROUND((K134/G134),2),"0,00")&amp;" руб. = "&amp;TEXT(ROUND((G134*(ROUND((K134/G134),2))),2),"0 000,00")&amp;" руб. = "&amp;TEXT(M134,"0 000,00")&amp;" руб.= "&amp;TEXT(O134,"0 000,00")&amp;" руб."</f>
        <v>224,0 шт. х 3751,46 руб. = 840 327,04 руб. = 840 328,00 руб.= 840 330,00 руб.</v>
      </c>
    </row>
    <row r="135" spans="1:23" ht="18.75" customHeight="1" x14ac:dyDescent="0.25">
      <c r="A135" s="383"/>
      <c r="B135" s="377"/>
      <c r="C135" s="64"/>
      <c r="D135" s="379"/>
      <c r="E135" s="384"/>
      <c r="F135" s="68" t="str">
        <f>F15</f>
        <v>норматив на 2024 год :</v>
      </c>
      <c r="G135" s="153">
        <v>224</v>
      </c>
      <c r="H135" s="67" t="str">
        <f>H134</f>
        <v>шт. х средняя цена с индексом потребительских цен</v>
      </c>
      <c r="I135" s="69">
        <f>ROUNDUP(I134*(1.0487),2)</f>
        <v>3934.1600000000003</v>
      </c>
      <c r="J135" s="67" t="s">
        <v>41</v>
      </c>
      <c r="K135" s="153">
        <f t="shared" ref="K135:K136" si="59">G135*I135</f>
        <v>881251.84000000008</v>
      </c>
      <c r="L135" s="67" t="s">
        <v>41</v>
      </c>
      <c r="M135" s="70">
        <f t="shared" ref="M135:M136" si="60">ROUNDUP((K135),0)</f>
        <v>881252</v>
      </c>
      <c r="N135" s="71" t="s">
        <v>37</v>
      </c>
      <c r="O135" s="70">
        <f t="shared" si="58"/>
        <v>881260</v>
      </c>
      <c r="P135" s="67" t="s">
        <v>332</v>
      </c>
      <c r="Q135" s="72"/>
      <c r="R135" s="72"/>
      <c r="S135" s="477"/>
      <c r="T135" s="485"/>
      <c r="U135" s="485"/>
      <c r="V135" s="485"/>
      <c r="W135" s="152" t="str">
        <f t="shared" ref="W135:W136" si="61">""&amp;TEXT(G135,"0,0")&amp;" шт. х "&amp;TEXT(ROUND((K135/G135),2),"0,00")&amp;" руб. = "&amp;TEXT(ROUND((G135*(ROUND((K135/G135),2))),2),"0 000,00")&amp;" руб. = "&amp;TEXT(M135,"0 000,00")&amp;" руб.= "&amp;TEXT(O135,"0 000,00")&amp;" руб."</f>
        <v>224,0 шт. х 3934,16 руб. = 881 251,84 руб. = 881 252,00 руб.= 881 260,00 руб.</v>
      </c>
    </row>
    <row r="136" spans="1:23" ht="24.75" customHeight="1" x14ac:dyDescent="0.25">
      <c r="A136" s="383"/>
      <c r="B136" s="377"/>
      <c r="C136" s="64"/>
      <c r="D136" s="379"/>
      <c r="E136" s="384"/>
      <c r="F136" s="68" t="str">
        <f>F16</f>
        <v>норматив на 2025 год :</v>
      </c>
      <c r="G136" s="153">
        <v>224</v>
      </c>
      <c r="H136" s="67" t="str">
        <f>H134</f>
        <v>шт. х средняя цена с индексом потребительских цен</v>
      </c>
      <c r="I136" s="69">
        <f>ROUNDUP(I135*(1.0457),2)</f>
        <v>4113.96</v>
      </c>
      <c r="J136" s="67" t="s">
        <v>41</v>
      </c>
      <c r="K136" s="153">
        <f t="shared" si="59"/>
        <v>921527.04</v>
      </c>
      <c r="L136" s="67" t="s">
        <v>41</v>
      </c>
      <c r="M136" s="70">
        <f t="shared" si="60"/>
        <v>921528</v>
      </c>
      <c r="N136" s="71" t="s">
        <v>37</v>
      </c>
      <c r="O136" s="70">
        <f t="shared" si="58"/>
        <v>921530</v>
      </c>
      <c r="P136" s="67" t="s">
        <v>332</v>
      </c>
      <c r="Q136" s="72"/>
      <c r="R136" s="72"/>
      <c r="S136" s="478"/>
      <c r="T136" s="486"/>
      <c r="U136" s="486"/>
      <c r="V136" s="486"/>
      <c r="W136" s="152" t="str">
        <f t="shared" si="61"/>
        <v>224,0 шт. х 4113,96 руб. = 921 527,04 руб. = 921 528,00 руб.= 921 530,00 руб.</v>
      </c>
    </row>
    <row r="137" spans="1:23" ht="103.5" customHeight="1" outlineLevel="1" x14ac:dyDescent="0.25">
      <c r="A137" s="383" t="s">
        <v>200</v>
      </c>
      <c r="B137" s="376" t="s">
        <v>307</v>
      </c>
      <c r="C137" s="64"/>
      <c r="D137" s="378">
        <v>341</v>
      </c>
      <c r="E137" s="378">
        <v>244</v>
      </c>
      <c r="F137" s="380" t="s">
        <v>249</v>
      </c>
      <c r="G137" s="380"/>
      <c r="H137" s="380"/>
      <c r="I137" s="380"/>
      <c r="J137" s="380"/>
      <c r="K137" s="380"/>
      <c r="L137" s="380"/>
      <c r="M137" s="380"/>
      <c r="N137" s="380"/>
      <c r="O137" s="380"/>
      <c r="P137" s="380"/>
      <c r="Q137" s="380"/>
      <c r="R137" s="380"/>
      <c r="S137" s="65"/>
      <c r="T137" s="482">
        <f>O139</f>
        <v>49310</v>
      </c>
      <c r="U137" s="482">
        <f>O140</f>
        <v>51710</v>
      </c>
      <c r="V137" s="482">
        <f>O141</f>
        <v>54070</v>
      </c>
      <c r="W137" s="152" t="s">
        <v>308</v>
      </c>
    </row>
    <row r="138" spans="1:23" ht="22.5" customHeight="1" x14ac:dyDescent="0.25">
      <c r="A138" s="383"/>
      <c r="B138" s="377"/>
      <c r="C138" s="64"/>
      <c r="D138" s="379"/>
      <c r="E138" s="384"/>
      <c r="F138" s="61">
        <v>2022</v>
      </c>
      <c r="G138" s="153">
        <v>64</v>
      </c>
      <c r="H138" s="67" t="s">
        <v>78</v>
      </c>
      <c r="I138" s="153">
        <f>ROUNDUP((45557.76/64),2)</f>
        <v>711.84</v>
      </c>
      <c r="J138" s="67" t="s">
        <v>41</v>
      </c>
      <c r="K138" s="153">
        <f>ROUND((G138*I138),2)</f>
        <v>45557.760000000002</v>
      </c>
      <c r="L138" s="67" t="s">
        <v>37</v>
      </c>
      <c r="M138" s="67"/>
      <c r="N138" s="67"/>
      <c r="O138" s="70">
        <f t="shared" ref="O138:O141" si="62">ROUNDUP((M138),-1)</f>
        <v>0</v>
      </c>
      <c r="P138" s="67"/>
      <c r="Q138" s="67"/>
      <c r="R138" s="65"/>
      <c r="S138" s="65"/>
      <c r="T138" s="483"/>
      <c r="U138" s="483"/>
      <c r="V138" s="483"/>
      <c r="W138" s="152"/>
    </row>
    <row r="139" spans="1:23" ht="17.25" customHeight="1" x14ac:dyDescent="0.25">
      <c r="A139" s="383"/>
      <c r="B139" s="377"/>
      <c r="C139" s="64"/>
      <c r="D139" s="379"/>
      <c r="E139" s="384"/>
      <c r="F139" s="68" t="str">
        <f>F14</f>
        <v>норматив на 2023 год :</v>
      </c>
      <c r="G139" s="153">
        <v>64</v>
      </c>
      <c r="H139" s="65" t="s">
        <v>294</v>
      </c>
      <c r="I139" s="69">
        <f>ROUNDUP(I138*(1.0822),2)</f>
        <v>770.36</v>
      </c>
      <c r="J139" s="67" t="s">
        <v>41</v>
      </c>
      <c r="K139" s="153">
        <f>G139*I139</f>
        <v>49303.040000000001</v>
      </c>
      <c r="L139" s="67" t="s">
        <v>41</v>
      </c>
      <c r="M139" s="70">
        <f>ROUNDUP((K139),0)</f>
        <v>49304</v>
      </c>
      <c r="N139" s="71" t="s">
        <v>37</v>
      </c>
      <c r="O139" s="70">
        <f t="shared" si="62"/>
        <v>49310</v>
      </c>
      <c r="P139" s="67" t="s">
        <v>332</v>
      </c>
      <c r="Q139" s="72"/>
      <c r="R139" s="72"/>
      <c r="S139" s="65"/>
      <c r="T139" s="483"/>
      <c r="U139" s="483"/>
      <c r="V139" s="483"/>
      <c r="W139" s="152" t="str">
        <f>""&amp;TEXT(G139,"0,0")&amp;" шт. х "&amp;TEXT(ROUND((K139),2),"0,00")&amp;" руб. = "&amp;TEXT(ROUND((M139),2),"0 000,00")&amp;" руб. = "&amp;TEXT(O139,"0 000,00")&amp;" руб."</f>
        <v>64,0 шт. х 49303,04 руб. = 49 304,00 руб. = 49 310,00 руб.</v>
      </c>
    </row>
    <row r="140" spans="1:23" ht="23.25" customHeight="1" x14ac:dyDescent="0.25">
      <c r="A140" s="383"/>
      <c r="B140" s="377"/>
      <c r="C140" s="64"/>
      <c r="D140" s="379"/>
      <c r="E140" s="384"/>
      <c r="F140" s="68" t="str">
        <f>F15</f>
        <v>норматив на 2024 год :</v>
      </c>
      <c r="G140" s="153">
        <v>64</v>
      </c>
      <c r="H140" s="67" t="str">
        <f>H139</f>
        <v>шт. х средняя цена с индексом потребительских цен</v>
      </c>
      <c r="I140" s="69">
        <f>ROUNDUP(I139*(1.0487),2)</f>
        <v>807.88</v>
      </c>
      <c r="J140" s="67" t="s">
        <v>41</v>
      </c>
      <c r="K140" s="153">
        <f t="shared" ref="K140:K141" si="63">G140*I140</f>
        <v>51704.32</v>
      </c>
      <c r="L140" s="67" t="s">
        <v>41</v>
      </c>
      <c r="M140" s="70">
        <f t="shared" ref="M140:M141" si="64">ROUNDUP((K140),0)</f>
        <v>51705</v>
      </c>
      <c r="N140" s="71" t="s">
        <v>37</v>
      </c>
      <c r="O140" s="70">
        <f t="shared" si="62"/>
        <v>51710</v>
      </c>
      <c r="P140" s="67" t="s">
        <v>332</v>
      </c>
      <c r="Q140" s="72"/>
      <c r="R140" s="72"/>
      <c r="S140" s="65"/>
      <c r="T140" s="483"/>
      <c r="U140" s="483"/>
      <c r="V140" s="483"/>
      <c r="W140" s="152" t="str">
        <f t="shared" ref="W140:W141" si="65">""&amp;TEXT(G140,"0,0")&amp;" шт. х "&amp;TEXT(ROUND((K140),2),"0,00")&amp;" руб. = "&amp;TEXT(ROUND((M140),2),"0 000,00")&amp;" руб. = "&amp;TEXT(O140,"0 000,00")&amp;" руб."</f>
        <v>64,0 шт. х 51704,32 руб. = 51 705,00 руб. = 51 710,00 руб.</v>
      </c>
    </row>
    <row r="141" spans="1:23" ht="23.25" customHeight="1" x14ac:dyDescent="0.25">
      <c r="A141" s="383"/>
      <c r="B141" s="377"/>
      <c r="C141" s="64"/>
      <c r="D141" s="379"/>
      <c r="E141" s="384"/>
      <c r="F141" s="68" t="str">
        <f>F16</f>
        <v>норматив на 2025 год :</v>
      </c>
      <c r="G141" s="153">
        <v>64</v>
      </c>
      <c r="H141" s="67" t="str">
        <f>H139</f>
        <v>шт. х средняя цена с индексом потребительских цен</v>
      </c>
      <c r="I141" s="69">
        <f>ROUNDUP(I140*(1.0457),2)</f>
        <v>844.81</v>
      </c>
      <c r="J141" s="67" t="s">
        <v>41</v>
      </c>
      <c r="K141" s="153">
        <f t="shared" si="63"/>
        <v>54067.839999999997</v>
      </c>
      <c r="L141" s="67" t="s">
        <v>41</v>
      </c>
      <c r="M141" s="70">
        <f t="shared" si="64"/>
        <v>54068</v>
      </c>
      <c r="N141" s="71" t="s">
        <v>37</v>
      </c>
      <c r="O141" s="70">
        <f t="shared" si="62"/>
        <v>54070</v>
      </c>
      <c r="P141" s="67" t="s">
        <v>332</v>
      </c>
      <c r="Q141" s="72"/>
      <c r="R141" s="72"/>
      <c r="S141" s="65"/>
      <c r="T141" s="484"/>
      <c r="U141" s="484"/>
      <c r="V141" s="484"/>
      <c r="W141" s="152" t="str">
        <f t="shared" si="65"/>
        <v>64,0 шт. х 54067,84 руб. = 54 068,00 руб. = 54 070,00 руб.</v>
      </c>
    </row>
    <row r="142" spans="1:23" ht="89.25" customHeight="1" x14ac:dyDescent="0.25">
      <c r="A142" s="383" t="s">
        <v>213</v>
      </c>
      <c r="B142" s="376" t="s">
        <v>309</v>
      </c>
      <c r="C142" s="64"/>
      <c r="D142" s="378">
        <v>341</v>
      </c>
      <c r="E142" s="378">
        <v>244</v>
      </c>
      <c r="F142" s="380" t="s">
        <v>249</v>
      </c>
      <c r="G142" s="380"/>
      <c r="H142" s="380"/>
      <c r="I142" s="380"/>
      <c r="J142" s="380"/>
      <c r="K142" s="380"/>
      <c r="L142" s="380"/>
      <c r="M142" s="380"/>
      <c r="N142" s="380"/>
      <c r="O142" s="380"/>
      <c r="P142" s="380"/>
      <c r="Q142" s="380"/>
      <c r="R142" s="380"/>
      <c r="S142" s="65"/>
      <c r="T142" s="501">
        <f>O144</f>
        <v>11000</v>
      </c>
      <c r="U142" s="501">
        <f>O145</f>
        <v>11540</v>
      </c>
      <c r="V142" s="501">
        <f>O146</f>
        <v>12060</v>
      </c>
      <c r="W142" s="152" t="s">
        <v>310</v>
      </c>
    </row>
    <row r="143" spans="1:23" ht="23.25" customHeight="1" x14ac:dyDescent="0.25">
      <c r="A143" s="383"/>
      <c r="B143" s="377"/>
      <c r="C143" s="64"/>
      <c r="D143" s="379"/>
      <c r="E143" s="384"/>
      <c r="F143" s="61">
        <v>2022</v>
      </c>
      <c r="G143" s="153">
        <v>11</v>
      </c>
      <c r="H143" s="67" t="s">
        <v>78</v>
      </c>
      <c r="I143" s="153">
        <v>923.64</v>
      </c>
      <c r="J143" s="67" t="s">
        <v>41</v>
      </c>
      <c r="K143" s="153">
        <f>ROUND((G143*I143),2)</f>
        <v>10160.040000000001</v>
      </c>
      <c r="L143" s="67" t="s">
        <v>37</v>
      </c>
      <c r="M143" s="67"/>
      <c r="N143" s="67"/>
      <c r="O143" s="70">
        <f t="shared" ref="O143:O146" si="66">ROUNDUP((M143),-1)</f>
        <v>0</v>
      </c>
      <c r="P143" s="67"/>
      <c r="Q143" s="67"/>
      <c r="R143" s="65"/>
      <c r="S143" s="65"/>
      <c r="T143" s="502"/>
      <c r="U143" s="502"/>
      <c r="V143" s="502"/>
      <c r="W143" s="152"/>
    </row>
    <row r="144" spans="1:23" ht="23.25" customHeight="1" x14ac:dyDescent="0.25">
      <c r="A144" s="383"/>
      <c r="B144" s="377"/>
      <c r="C144" s="64"/>
      <c r="D144" s="379"/>
      <c r="E144" s="384"/>
      <c r="F144" s="68" t="str">
        <f>F14</f>
        <v>норматив на 2023 год :</v>
      </c>
      <c r="G144" s="153">
        <v>11</v>
      </c>
      <c r="H144" s="65" t="s">
        <v>294</v>
      </c>
      <c r="I144" s="69">
        <f>ROUNDUP(I143*(1.0822),2)</f>
        <v>999.56999999999994</v>
      </c>
      <c r="J144" s="67" t="s">
        <v>41</v>
      </c>
      <c r="K144" s="153">
        <f>G144*I144</f>
        <v>10995.269999999999</v>
      </c>
      <c r="L144" s="67" t="s">
        <v>41</v>
      </c>
      <c r="M144" s="70">
        <f>ROUNDUP((K144),0)</f>
        <v>10996</v>
      </c>
      <c r="N144" s="71" t="s">
        <v>37</v>
      </c>
      <c r="O144" s="70">
        <f t="shared" si="66"/>
        <v>11000</v>
      </c>
      <c r="P144" s="67" t="s">
        <v>332</v>
      </c>
      <c r="Q144" s="72"/>
      <c r="R144" s="72"/>
      <c r="S144" s="65"/>
      <c r="T144" s="502"/>
      <c r="U144" s="502"/>
      <c r="V144" s="502"/>
      <c r="W144" s="152" t="str">
        <f>""&amp;TEXT(G144,"0,0")&amp;" шт. х "&amp;TEXT(ROUND((K144/G144),2),"0,00")&amp;" руб. = "&amp;TEXT(ROUND((G144*(ROUND((K144/G144),2))),2),"0 000,00")&amp;" руб. = "&amp;TEXT(M144,"0 000,00")&amp;" руб.= "&amp;TEXT(O144,"0 000,00")&amp;" руб."</f>
        <v>11,0 шт. х 999,57 руб. = 10 995,27 руб. = 10 996,00 руб.= 11 000,00 руб.</v>
      </c>
    </row>
    <row r="145" spans="1:23" ht="23.25" customHeight="1" x14ac:dyDescent="0.25">
      <c r="A145" s="383"/>
      <c r="B145" s="377"/>
      <c r="C145" s="64"/>
      <c r="D145" s="379"/>
      <c r="E145" s="384"/>
      <c r="F145" s="68" t="str">
        <f>F15</f>
        <v>норматив на 2024 год :</v>
      </c>
      <c r="G145" s="153">
        <v>11</v>
      </c>
      <c r="H145" s="67" t="str">
        <f>H144</f>
        <v>шт. х средняя цена с индексом потребительских цен</v>
      </c>
      <c r="I145" s="69">
        <f>ROUNDUP(I144*(1.0487),2)</f>
        <v>1048.25</v>
      </c>
      <c r="J145" s="67" t="s">
        <v>41</v>
      </c>
      <c r="K145" s="153">
        <f t="shared" ref="K145:K146" si="67">G145*I145</f>
        <v>11530.75</v>
      </c>
      <c r="L145" s="67" t="s">
        <v>41</v>
      </c>
      <c r="M145" s="70">
        <f t="shared" ref="M145:M146" si="68">ROUNDUP((K145),0)</f>
        <v>11531</v>
      </c>
      <c r="N145" s="71" t="s">
        <v>37</v>
      </c>
      <c r="O145" s="70">
        <f t="shared" si="66"/>
        <v>11540</v>
      </c>
      <c r="P145" s="67" t="s">
        <v>332</v>
      </c>
      <c r="Q145" s="72"/>
      <c r="R145" s="72"/>
      <c r="S145" s="65"/>
      <c r="T145" s="502"/>
      <c r="U145" s="502"/>
      <c r="V145" s="502"/>
      <c r="W145" s="152" t="str">
        <f t="shared" ref="W145:W146" si="69">""&amp;TEXT(G145,"0,0")&amp;" шт. х "&amp;TEXT(ROUND((K145/G145),2),"0,00")&amp;" руб. = "&amp;TEXT(ROUND((G145*(ROUND((K145/G145),2))),2),"0 000,00")&amp;" руб. = "&amp;TEXT(M145,"0 000,00")&amp;" руб.= "&amp;TEXT(O145,"0 000,00")&amp;" руб."</f>
        <v>11,0 шт. х 1048,25 руб. = 11 530,75 руб. = 11 531,00 руб.= 11 540,00 руб.</v>
      </c>
    </row>
    <row r="146" spans="1:23" ht="23.25" customHeight="1" x14ac:dyDescent="0.25">
      <c r="A146" s="383"/>
      <c r="B146" s="377"/>
      <c r="C146" s="64"/>
      <c r="D146" s="379"/>
      <c r="E146" s="384"/>
      <c r="F146" s="68" t="str">
        <f>F16</f>
        <v>норматив на 2025 год :</v>
      </c>
      <c r="G146" s="153">
        <v>11</v>
      </c>
      <c r="H146" s="67" t="str">
        <f>H144</f>
        <v>шт. х средняя цена с индексом потребительских цен</v>
      </c>
      <c r="I146" s="69">
        <f>ROUNDUP(I145*(1.0457),2)</f>
        <v>1096.1600000000001</v>
      </c>
      <c r="J146" s="67" t="s">
        <v>41</v>
      </c>
      <c r="K146" s="153">
        <f t="shared" si="67"/>
        <v>12057.76</v>
      </c>
      <c r="L146" s="67" t="s">
        <v>41</v>
      </c>
      <c r="M146" s="70">
        <f t="shared" si="68"/>
        <v>12058</v>
      </c>
      <c r="N146" s="71" t="s">
        <v>37</v>
      </c>
      <c r="O146" s="70">
        <f t="shared" si="66"/>
        <v>12060</v>
      </c>
      <c r="P146" s="67" t="s">
        <v>332</v>
      </c>
      <c r="Q146" s="72"/>
      <c r="R146" s="72"/>
      <c r="S146" s="65"/>
      <c r="T146" s="503"/>
      <c r="U146" s="503"/>
      <c r="V146" s="503"/>
      <c r="W146" s="152" t="str">
        <f t="shared" si="69"/>
        <v>11,0 шт. х 1096,16 руб. = 12 057,76 руб. = 12 058,00 руб.= 12 060,00 руб.</v>
      </c>
    </row>
    <row r="147" spans="1:23" ht="100.5" customHeight="1" x14ac:dyDescent="0.25">
      <c r="A147" s="383" t="s">
        <v>311</v>
      </c>
      <c r="B147" s="376" t="s">
        <v>312</v>
      </c>
      <c r="C147" s="64"/>
      <c r="D147" s="378">
        <v>341</v>
      </c>
      <c r="E147" s="378">
        <v>244</v>
      </c>
      <c r="F147" s="380" t="s">
        <v>249</v>
      </c>
      <c r="G147" s="380"/>
      <c r="H147" s="380"/>
      <c r="I147" s="380"/>
      <c r="J147" s="380"/>
      <c r="K147" s="380"/>
      <c r="L147" s="380"/>
      <c r="M147" s="380"/>
      <c r="N147" s="380"/>
      <c r="O147" s="380"/>
      <c r="P147" s="380"/>
      <c r="Q147" s="380"/>
      <c r="R147" s="380"/>
      <c r="S147" s="65"/>
      <c r="T147" s="501">
        <f>O149</f>
        <v>5600</v>
      </c>
      <c r="U147" s="501">
        <f>O150</f>
        <v>5880</v>
      </c>
      <c r="V147" s="501">
        <f>O151</f>
        <v>6140</v>
      </c>
      <c r="W147" s="152" t="s">
        <v>313</v>
      </c>
    </row>
    <row r="148" spans="1:23" ht="23.25" customHeight="1" x14ac:dyDescent="0.25">
      <c r="A148" s="383"/>
      <c r="B148" s="377"/>
      <c r="C148" s="64"/>
      <c r="D148" s="379"/>
      <c r="E148" s="384"/>
      <c r="F148" s="61">
        <v>2022</v>
      </c>
      <c r="G148" s="153">
        <v>64</v>
      </c>
      <c r="H148" s="67" t="s">
        <v>78</v>
      </c>
      <c r="I148" s="153">
        <v>80.819999999999993</v>
      </c>
      <c r="J148" s="67" t="s">
        <v>41</v>
      </c>
      <c r="K148" s="153"/>
      <c r="L148" s="67"/>
      <c r="M148" s="70"/>
      <c r="N148" s="67"/>
      <c r="O148" s="70"/>
      <c r="P148" s="67"/>
      <c r="Q148" s="67"/>
      <c r="R148" s="65"/>
      <c r="S148" s="65"/>
      <c r="T148" s="502"/>
      <c r="U148" s="502"/>
      <c r="V148" s="502"/>
      <c r="W148" s="152"/>
    </row>
    <row r="149" spans="1:23" ht="23.25" customHeight="1" x14ac:dyDescent="0.25">
      <c r="A149" s="383"/>
      <c r="B149" s="377"/>
      <c r="C149" s="64"/>
      <c r="D149" s="379"/>
      <c r="E149" s="384"/>
      <c r="F149" s="68" t="str">
        <f>F14</f>
        <v>норматив на 2023 год :</v>
      </c>
      <c r="G149" s="153">
        <v>64</v>
      </c>
      <c r="H149" s="65" t="s">
        <v>294</v>
      </c>
      <c r="I149" s="69">
        <f>ROUNDUP(I148*(1.0822),2)</f>
        <v>87.47</v>
      </c>
      <c r="J149" s="67" t="s">
        <v>41</v>
      </c>
      <c r="K149" s="153">
        <f>G149*I149</f>
        <v>5598.08</v>
      </c>
      <c r="L149" s="67" t="s">
        <v>41</v>
      </c>
      <c r="M149" s="70">
        <f>ROUNDUP((K149),0)</f>
        <v>5599</v>
      </c>
      <c r="N149" s="71" t="s">
        <v>37</v>
      </c>
      <c r="O149" s="70">
        <f t="shared" ref="O149:O151" si="70">ROUNDUP((M149),-1)</f>
        <v>5600</v>
      </c>
      <c r="P149" s="67" t="s">
        <v>332</v>
      </c>
      <c r="Q149" s="72"/>
      <c r="R149" s="72"/>
      <c r="S149" s="65"/>
      <c r="T149" s="502"/>
      <c r="U149" s="502"/>
      <c r="V149" s="502"/>
      <c r="W149" s="152" t="str">
        <f>""&amp;TEXT(G149,"0,0")&amp;" шт. х "&amp;TEXT(ROUND((K149/G149),2),"0,00")&amp;" руб. = "&amp;TEXT(ROUND((G149*(ROUND((K149/G149),2))),2),"0 000,00")&amp;" руб. = "&amp;TEXT(O149,"0 000,00")&amp;" руб."</f>
        <v>64,0 шт. х 87,47 руб. = 5 598,08 руб. = 5 600,00 руб.</v>
      </c>
    </row>
    <row r="150" spans="1:23" ht="23.25" customHeight="1" x14ac:dyDescent="0.25">
      <c r="A150" s="383"/>
      <c r="B150" s="377"/>
      <c r="C150" s="64"/>
      <c r="D150" s="379"/>
      <c r="E150" s="384"/>
      <c r="F150" s="68" t="str">
        <f>F15</f>
        <v>норматив на 2024 год :</v>
      </c>
      <c r="G150" s="153">
        <v>64</v>
      </c>
      <c r="H150" s="67" t="str">
        <f>H149</f>
        <v>шт. х средняя цена с индексом потребительских цен</v>
      </c>
      <c r="I150" s="69">
        <f>ROUNDUP(I149*(1.0487),2)</f>
        <v>91.73</v>
      </c>
      <c r="J150" s="67" t="s">
        <v>41</v>
      </c>
      <c r="K150" s="153">
        <f t="shared" ref="K150:K151" si="71">G150*I150</f>
        <v>5870.72</v>
      </c>
      <c r="L150" s="67" t="s">
        <v>41</v>
      </c>
      <c r="M150" s="70">
        <f t="shared" ref="M150:M151" si="72">ROUNDUP((K150),0)</f>
        <v>5871</v>
      </c>
      <c r="N150" s="71" t="s">
        <v>37</v>
      </c>
      <c r="O150" s="70">
        <f t="shared" si="70"/>
        <v>5880</v>
      </c>
      <c r="P150" s="67" t="s">
        <v>332</v>
      </c>
      <c r="Q150" s="72"/>
      <c r="R150" s="72"/>
      <c r="S150" s="65"/>
      <c r="T150" s="502"/>
      <c r="U150" s="502"/>
      <c r="V150" s="502"/>
      <c r="W150" s="152" t="str">
        <f t="shared" ref="W150:W151" si="73">""&amp;TEXT(G150,"0,0")&amp;" шт. х "&amp;TEXT(ROUND((K150/G150),2),"0,00")&amp;" руб. = "&amp;TEXT(ROUND((G150*(ROUND((K150/G150),2))),2),"0 000,00")&amp;" руб. = "&amp;TEXT(O150,"0 000,00")&amp;" руб."</f>
        <v>64,0 шт. х 91,73 руб. = 5 870,72 руб. = 5 880,00 руб.</v>
      </c>
    </row>
    <row r="151" spans="1:23" ht="23.25" customHeight="1" x14ac:dyDescent="0.25">
      <c r="A151" s="383"/>
      <c r="B151" s="377"/>
      <c r="C151" s="64"/>
      <c r="D151" s="379"/>
      <c r="E151" s="384"/>
      <c r="F151" s="68" t="str">
        <f>F16</f>
        <v>норматив на 2025 год :</v>
      </c>
      <c r="G151" s="153">
        <v>64</v>
      </c>
      <c r="H151" s="67" t="str">
        <f>H149</f>
        <v>шт. х средняя цена с индексом потребительских цен</v>
      </c>
      <c r="I151" s="69">
        <f>ROUNDUP(I150*(1.0457),2)</f>
        <v>95.93</v>
      </c>
      <c r="J151" s="67" t="s">
        <v>41</v>
      </c>
      <c r="K151" s="153">
        <f t="shared" si="71"/>
        <v>6139.52</v>
      </c>
      <c r="L151" s="67" t="s">
        <v>41</v>
      </c>
      <c r="M151" s="70">
        <f t="shared" si="72"/>
        <v>6140</v>
      </c>
      <c r="N151" s="71" t="s">
        <v>37</v>
      </c>
      <c r="O151" s="70">
        <f t="shared" si="70"/>
        <v>6140</v>
      </c>
      <c r="P151" s="67" t="s">
        <v>332</v>
      </c>
      <c r="Q151" s="72"/>
      <c r="R151" s="72"/>
      <c r="S151" s="65"/>
      <c r="T151" s="503"/>
      <c r="U151" s="503"/>
      <c r="V151" s="503"/>
      <c r="W151" s="152" t="str">
        <f t="shared" si="73"/>
        <v>64,0 шт. х 95,93 руб. = 6 139,52 руб. = 6 140,00 руб.</v>
      </c>
    </row>
    <row r="152" spans="1:23" ht="107.25" customHeight="1" x14ac:dyDescent="0.25">
      <c r="A152" s="383" t="s">
        <v>314</v>
      </c>
      <c r="B152" s="376" t="s">
        <v>315</v>
      </c>
      <c r="C152" s="64"/>
      <c r="D152" s="378">
        <v>341</v>
      </c>
      <c r="E152" s="378">
        <v>244</v>
      </c>
      <c r="F152" s="380" t="s">
        <v>249</v>
      </c>
      <c r="G152" s="380"/>
      <c r="H152" s="380"/>
      <c r="I152" s="380"/>
      <c r="J152" s="380"/>
      <c r="K152" s="380"/>
      <c r="L152" s="380"/>
      <c r="M152" s="380"/>
      <c r="N152" s="380"/>
      <c r="O152" s="380"/>
      <c r="P152" s="380"/>
      <c r="Q152" s="380"/>
      <c r="R152" s="380"/>
      <c r="S152" s="65"/>
      <c r="T152" s="501">
        <f>O154</f>
        <v>6080</v>
      </c>
      <c r="U152" s="501">
        <f>O155</f>
        <v>6370</v>
      </c>
      <c r="V152" s="501">
        <f>O156</f>
        <v>6660</v>
      </c>
      <c r="W152" s="152" t="s">
        <v>316</v>
      </c>
    </row>
    <row r="153" spans="1:23" ht="23.25" customHeight="1" x14ac:dyDescent="0.25">
      <c r="A153" s="383"/>
      <c r="B153" s="377"/>
      <c r="C153" s="64"/>
      <c r="D153" s="379"/>
      <c r="E153" s="384"/>
      <c r="F153" s="61">
        <v>2022</v>
      </c>
      <c r="G153" s="153">
        <v>64</v>
      </c>
      <c r="H153" s="67" t="s">
        <v>78</v>
      </c>
      <c r="I153" s="153">
        <v>87.67</v>
      </c>
      <c r="J153" s="67" t="s">
        <v>41</v>
      </c>
      <c r="K153" s="153">
        <f>ROUND((G153*I153),2)</f>
        <v>5610.88</v>
      </c>
      <c r="L153" s="67" t="s">
        <v>37</v>
      </c>
      <c r="M153" s="67"/>
      <c r="N153" s="67"/>
      <c r="O153" s="70">
        <f t="shared" ref="O153:O156" si="74">ROUNDUP((M153),-1)</f>
        <v>0</v>
      </c>
      <c r="P153" s="67"/>
      <c r="Q153" s="67"/>
      <c r="R153" s="65"/>
      <c r="S153" s="65"/>
      <c r="T153" s="502"/>
      <c r="U153" s="502"/>
      <c r="V153" s="502"/>
      <c r="W153" s="152"/>
    </row>
    <row r="154" spans="1:23" ht="23.25" customHeight="1" x14ac:dyDescent="0.25">
      <c r="A154" s="383"/>
      <c r="B154" s="377"/>
      <c r="C154" s="64"/>
      <c r="D154" s="379"/>
      <c r="E154" s="384"/>
      <c r="F154" s="68" t="str">
        <f>F14</f>
        <v>норматив на 2023 год :</v>
      </c>
      <c r="G154" s="153">
        <v>64</v>
      </c>
      <c r="H154" s="65" t="s">
        <v>294</v>
      </c>
      <c r="I154" s="69">
        <f>ROUNDUP(I153*(1.0822),2)</f>
        <v>94.88000000000001</v>
      </c>
      <c r="J154" s="67" t="s">
        <v>41</v>
      </c>
      <c r="K154" s="153">
        <f>G154*I154</f>
        <v>6072.3200000000006</v>
      </c>
      <c r="L154" s="67" t="s">
        <v>41</v>
      </c>
      <c r="M154" s="70">
        <f>ROUNDUP((K154),0)</f>
        <v>6073</v>
      </c>
      <c r="N154" s="71" t="s">
        <v>37</v>
      </c>
      <c r="O154" s="70">
        <f t="shared" si="74"/>
        <v>6080</v>
      </c>
      <c r="P154" s="67" t="s">
        <v>332</v>
      </c>
      <c r="Q154" s="72"/>
      <c r="R154" s="72"/>
      <c r="S154" s="65"/>
      <c r="T154" s="502"/>
      <c r="U154" s="502"/>
      <c r="V154" s="502"/>
      <c r="W154" s="152" t="str">
        <f>""&amp;TEXT(G154,"0,0")&amp;" шт. х "&amp;TEXT(ROUND((K154/G154),2),"0,00")&amp;" руб. = "&amp;TEXT(ROUND((G154*(ROUND((K154/G154),2))),2),"0 000,00")&amp;" руб. = "&amp;TEXT(O154,"0 000,00")&amp;" руб."</f>
        <v>64,0 шт. х 94,88 руб. = 6 072,32 руб. = 6 080,00 руб.</v>
      </c>
    </row>
    <row r="155" spans="1:23" ht="23.25" customHeight="1" x14ac:dyDescent="0.25">
      <c r="A155" s="383"/>
      <c r="B155" s="377"/>
      <c r="C155" s="64"/>
      <c r="D155" s="379"/>
      <c r="E155" s="384"/>
      <c r="F155" s="68" t="str">
        <f>F15</f>
        <v>норматив на 2024 год :</v>
      </c>
      <c r="G155" s="153">
        <v>64</v>
      </c>
      <c r="H155" s="67" t="str">
        <f>H154</f>
        <v>шт. х средняя цена с индексом потребительских цен</v>
      </c>
      <c r="I155" s="69">
        <f>ROUNDUP(I154*(1.0487),2)</f>
        <v>99.51</v>
      </c>
      <c r="J155" s="67" t="s">
        <v>41</v>
      </c>
      <c r="K155" s="153">
        <f t="shared" ref="K155:K156" si="75">G155*I155</f>
        <v>6368.64</v>
      </c>
      <c r="L155" s="67" t="s">
        <v>41</v>
      </c>
      <c r="M155" s="70">
        <f t="shared" ref="M155:M156" si="76">ROUNDUP((K155),0)</f>
        <v>6369</v>
      </c>
      <c r="N155" s="71" t="s">
        <v>37</v>
      </c>
      <c r="O155" s="70">
        <f t="shared" si="74"/>
        <v>6370</v>
      </c>
      <c r="P155" s="67" t="s">
        <v>332</v>
      </c>
      <c r="Q155" s="72"/>
      <c r="R155" s="72"/>
      <c r="S155" s="65"/>
      <c r="T155" s="502"/>
      <c r="U155" s="502"/>
      <c r="V155" s="502"/>
      <c r="W155" s="152" t="str">
        <f t="shared" ref="W155:W156" si="77">""&amp;TEXT(G155,"0,0")&amp;" шт. х "&amp;TEXT(ROUND((K155/G155),2),"0,00")&amp;" руб. = "&amp;TEXT(ROUND((G155*(ROUND((K155/G155),2))),2),"0 000,00")&amp;" руб. = "&amp;TEXT(O155,"0 000,00")&amp;" руб."</f>
        <v>64,0 шт. х 99,51 руб. = 6 368,64 руб. = 6 370,00 руб.</v>
      </c>
    </row>
    <row r="156" spans="1:23" ht="23.25" customHeight="1" x14ac:dyDescent="0.25">
      <c r="A156" s="383"/>
      <c r="B156" s="377"/>
      <c r="C156" s="64"/>
      <c r="D156" s="379"/>
      <c r="E156" s="384"/>
      <c r="F156" s="68" t="str">
        <f>F16</f>
        <v>норматив на 2025 год :</v>
      </c>
      <c r="G156" s="153">
        <v>64</v>
      </c>
      <c r="H156" s="67" t="str">
        <f>H154</f>
        <v>шт. х средняя цена с индексом потребительских цен</v>
      </c>
      <c r="I156" s="69">
        <f>ROUNDUP(I155*(1.0457),2)</f>
        <v>104.06</v>
      </c>
      <c r="J156" s="67" t="s">
        <v>41</v>
      </c>
      <c r="K156" s="153">
        <f t="shared" si="75"/>
        <v>6659.84</v>
      </c>
      <c r="L156" s="67" t="s">
        <v>41</v>
      </c>
      <c r="M156" s="70">
        <f t="shared" si="76"/>
        <v>6660</v>
      </c>
      <c r="N156" s="71" t="s">
        <v>37</v>
      </c>
      <c r="O156" s="70">
        <f t="shared" si="74"/>
        <v>6660</v>
      </c>
      <c r="P156" s="67" t="s">
        <v>332</v>
      </c>
      <c r="Q156" s="72"/>
      <c r="R156" s="72"/>
      <c r="S156" s="65"/>
      <c r="T156" s="503"/>
      <c r="U156" s="503"/>
      <c r="V156" s="503"/>
      <c r="W156" s="152" t="str">
        <f t="shared" si="77"/>
        <v>64,0 шт. х 104,06 руб. = 6 659,84 руб. = 6 660,00 руб.</v>
      </c>
    </row>
    <row r="157" spans="1:23" ht="111" customHeight="1" x14ac:dyDescent="0.25">
      <c r="A157" s="383" t="s">
        <v>317</v>
      </c>
      <c r="B157" s="376" t="s">
        <v>318</v>
      </c>
      <c r="C157" s="64"/>
      <c r="D157" s="378">
        <v>346</v>
      </c>
      <c r="E157" s="378">
        <v>244</v>
      </c>
      <c r="F157" s="380" t="s">
        <v>249</v>
      </c>
      <c r="G157" s="380"/>
      <c r="H157" s="380"/>
      <c r="I157" s="380"/>
      <c r="J157" s="380"/>
      <c r="K157" s="380"/>
      <c r="L157" s="380"/>
      <c r="M157" s="380"/>
      <c r="N157" s="380"/>
      <c r="O157" s="380"/>
      <c r="P157" s="380"/>
      <c r="Q157" s="380"/>
      <c r="R157" s="380"/>
      <c r="S157" s="65"/>
      <c r="T157" s="501">
        <f>O159</f>
        <v>15540</v>
      </c>
      <c r="U157" s="501">
        <f>O160</f>
        <v>16300</v>
      </c>
      <c r="V157" s="501">
        <f>O161</f>
        <v>17050</v>
      </c>
      <c r="W157" s="152" t="s">
        <v>319</v>
      </c>
    </row>
    <row r="158" spans="1:23" ht="23.25" customHeight="1" x14ac:dyDescent="0.25">
      <c r="A158" s="383"/>
      <c r="B158" s="377"/>
      <c r="C158" s="64"/>
      <c r="D158" s="379"/>
      <c r="E158" s="384"/>
      <c r="F158" s="61">
        <v>2022</v>
      </c>
      <c r="G158" s="153">
        <v>20</v>
      </c>
      <c r="H158" s="67" t="s">
        <v>78</v>
      </c>
      <c r="I158" s="153">
        <f>ROUNDUP((14358.6/20),2)</f>
        <v>717.93</v>
      </c>
      <c r="J158" s="67" t="s">
        <v>41</v>
      </c>
      <c r="K158" s="153">
        <f>ROUND((G158*I158),2)</f>
        <v>14358.6</v>
      </c>
      <c r="L158" s="67" t="s">
        <v>37</v>
      </c>
      <c r="M158" s="67"/>
      <c r="N158" s="67"/>
      <c r="O158" s="70">
        <f t="shared" ref="O158:O161" si="78">ROUNDUP((M158),-1)</f>
        <v>0</v>
      </c>
      <c r="P158" s="67"/>
      <c r="Q158" s="67"/>
      <c r="R158" s="65"/>
      <c r="S158" s="65"/>
      <c r="T158" s="502"/>
      <c r="U158" s="502"/>
      <c r="V158" s="502"/>
      <c r="W158" s="152"/>
    </row>
    <row r="159" spans="1:23" ht="23.25" customHeight="1" x14ac:dyDescent="0.25">
      <c r="A159" s="383"/>
      <c r="B159" s="377"/>
      <c r="C159" s="64"/>
      <c r="D159" s="379"/>
      <c r="E159" s="384"/>
      <c r="F159" s="68" t="str">
        <f>F14</f>
        <v>норматив на 2023 год :</v>
      </c>
      <c r="G159" s="153">
        <v>20</v>
      </c>
      <c r="H159" s="65" t="s">
        <v>294</v>
      </c>
      <c r="I159" s="69">
        <f>ROUNDUP(I158*(1.0822),2)</f>
        <v>776.95</v>
      </c>
      <c r="J159" s="67" t="s">
        <v>41</v>
      </c>
      <c r="K159" s="153">
        <f>G159*I159</f>
        <v>15539</v>
      </c>
      <c r="L159" s="67" t="s">
        <v>41</v>
      </c>
      <c r="M159" s="70">
        <f>ROUNDUP((K159),0)</f>
        <v>15539</v>
      </c>
      <c r="N159" s="71" t="s">
        <v>37</v>
      </c>
      <c r="O159" s="70">
        <f t="shared" si="78"/>
        <v>15540</v>
      </c>
      <c r="P159" s="67" t="s">
        <v>332</v>
      </c>
      <c r="Q159" s="72"/>
      <c r="R159" s="72"/>
      <c r="S159" s="65"/>
      <c r="T159" s="502"/>
      <c r="U159" s="502"/>
      <c r="V159" s="502"/>
      <c r="W159" s="152" t="str">
        <f>""&amp;TEXT(G159,"0,0")&amp;" шт. х "&amp;TEXT(ROUND((K159/G159),2),"0,00")&amp;" руб. = "&amp;TEXT(ROUND((G159*(ROUND((K159/G159),2))),2),"0 000,00")&amp;" руб. = "&amp;TEXT(O159,"0 000,00")&amp;" руб."</f>
        <v>20,0 шт. х 776,95 руб. = 15 539,00 руб. = 15 540,00 руб.</v>
      </c>
    </row>
    <row r="160" spans="1:23" ht="23.25" customHeight="1" x14ac:dyDescent="0.25">
      <c r="A160" s="383"/>
      <c r="B160" s="377"/>
      <c r="C160" s="64"/>
      <c r="D160" s="379"/>
      <c r="E160" s="384"/>
      <c r="F160" s="68" t="str">
        <f>F15</f>
        <v>норматив на 2024 год :</v>
      </c>
      <c r="G160" s="153">
        <v>20</v>
      </c>
      <c r="H160" s="67" t="str">
        <f>H159</f>
        <v>шт. х средняя цена с индексом потребительских цен</v>
      </c>
      <c r="I160" s="69">
        <f>ROUNDUP(I159*(1.0487),2)</f>
        <v>814.79</v>
      </c>
      <c r="J160" s="67" t="s">
        <v>41</v>
      </c>
      <c r="K160" s="153">
        <f t="shared" ref="K160:K161" si="79">G160*I160</f>
        <v>16295.8</v>
      </c>
      <c r="L160" s="67" t="s">
        <v>41</v>
      </c>
      <c r="M160" s="70">
        <f t="shared" ref="M160:M161" si="80">ROUNDUP((K160),0)</f>
        <v>16296</v>
      </c>
      <c r="N160" s="71" t="s">
        <v>37</v>
      </c>
      <c r="O160" s="70">
        <f t="shared" si="78"/>
        <v>16300</v>
      </c>
      <c r="P160" s="67" t="s">
        <v>332</v>
      </c>
      <c r="Q160" s="72"/>
      <c r="R160" s="72"/>
      <c r="S160" s="65"/>
      <c r="T160" s="502"/>
      <c r="U160" s="502"/>
      <c r="V160" s="502"/>
      <c r="W160" s="152" t="str">
        <f t="shared" ref="W160:W161" si="81">""&amp;TEXT(G160,"0,0")&amp;" шт. х "&amp;TEXT(ROUND((K160/G160),2),"0,00")&amp;" руб. = "&amp;TEXT(ROUND((G160*(ROUND((K160/G160),2))),2),"0 000,00")&amp;" руб. = "&amp;TEXT(O160,"0 000,00")&amp;" руб."</f>
        <v>20,0 шт. х 814,79 руб. = 16 295,80 руб. = 16 300,00 руб.</v>
      </c>
    </row>
    <row r="161" spans="1:23" ht="23.25" customHeight="1" x14ac:dyDescent="0.25">
      <c r="A161" s="383"/>
      <c r="B161" s="377"/>
      <c r="C161" s="64"/>
      <c r="D161" s="379"/>
      <c r="E161" s="384"/>
      <c r="F161" s="68" t="str">
        <f>F16</f>
        <v>норматив на 2025 год :</v>
      </c>
      <c r="G161" s="153">
        <v>20</v>
      </c>
      <c r="H161" s="67" t="str">
        <f>H159</f>
        <v>шт. х средняя цена с индексом потребительских цен</v>
      </c>
      <c r="I161" s="69">
        <f>ROUNDUP(I160*(1.0457),2)</f>
        <v>852.03</v>
      </c>
      <c r="J161" s="67" t="s">
        <v>41</v>
      </c>
      <c r="K161" s="153">
        <f t="shared" si="79"/>
        <v>17040.599999999999</v>
      </c>
      <c r="L161" s="67" t="s">
        <v>41</v>
      </c>
      <c r="M161" s="70">
        <f t="shared" si="80"/>
        <v>17041</v>
      </c>
      <c r="N161" s="71" t="s">
        <v>37</v>
      </c>
      <c r="O161" s="70">
        <f t="shared" si="78"/>
        <v>17050</v>
      </c>
      <c r="P161" s="67" t="s">
        <v>332</v>
      </c>
      <c r="Q161" s="72"/>
      <c r="R161" s="72"/>
      <c r="S161" s="65"/>
      <c r="T161" s="503"/>
      <c r="U161" s="503"/>
      <c r="V161" s="503"/>
      <c r="W161" s="152" t="str">
        <f t="shared" si="81"/>
        <v>20,0 шт. х 852,03 руб. = 17 040,60 руб. = 17 050,00 руб.</v>
      </c>
    </row>
    <row r="162" spans="1:23" ht="90" x14ac:dyDescent="0.25">
      <c r="A162" s="383" t="s">
        <v>320</v>
      </c>
      <c r="B162" s="376" t="s">
        <v>214</v>
      </c>
      <c r="C162" s="64"/>
      <c r="D162" s="378">
        <v>346</v>
      </c>
      <c r="E162" s="378">
        <v>244</v>
      </c>
      <c r="F162" s="380" t="s">
        <v>249</v>
      </c>
      <c r="G162" s="380"/>
      <c r="H162" s="380"/>
      <c r="I162" s="380"/>
      <c r="J162" s="380"/>
      <c r="K162" s="380"/>
      <c r="L162" s="380"/>
      <c r="M162" s="380"/>
      <c r="N162" s="380"/>
      <c r="O162" s="380"/>
      <c r="P162" s="380"/>
      <c r="Q162" s="380"/>
      <c r="R162" s="380"/>
      <c r="S162" s="65"/>
      <c r="T162" s="485">
        <f>M164</f>
        <v>657450</v>
      </c>
      <c r="U162" s="485">
        <f>M165</f>
        <v>689580</v>
      </c>
      <c r="V162" s="485">
        <f>M166</f>
        <v>721170</v>
      </c>
      <c r="W162" s="132" t="s">
        <v>215</v>
      </c>
    </row>
    <row r="163" spans="1:23" ht="20.25" customHeight="1" outlineLevel="1" x14ac:dyDescent="0.25">
      <c r="A163" s="383"/>
      <c r="B163" s="377"/>
      <c r="C163" s="64"/>
      <c r="D163" s="379"/>
      <c r="E163" s="384"/>
      <c r="F163" s="61">
        <v>2022</v>
      </c>
      <c r="G163" s="134"/>
      <c r="H163" s="67" t="s">
        <v>335</v>
      </c>
      <c r="I163" s="134">
        <v>45</v>
      </c>
      <c r="J163" s="67" t="s">
        <v>41</v>
      </c>
      <c r="K163" s="134">
        <f>ROUND((G163*I163),2)</f>
        <v>0</v>
      </c>
      <c r="L163" s="67" t="s">
        <v>37</v>
      </c>
      <c r="M163" s="67"/>
      <c r="N163" s="67"/>
      <c r="O163" s="70">
        <f t="shared" ref="O163:O166" si="82">ROUNDUP((M163),-1)</f>
        <v>0</v>
      </c>
      <c r="P163" s="67"/>
      <c r="Q163" s="67"/>
      <c r="R163" s="65"/>
      <c r="S163" s="65"/>
      <c r="T163" s="485"/>
      <c r="U163" s="485"/>
      <c r="V163" s="485"/>
      <c r="W163" s="132"/>
    </row>
    <row r="164" spans="1:23" ht="24.75" customHeight="1" x14ac:dyDescent="0.25">
      <c r="A164" s="383"/>
      <c r="B164" s="377"/>
      <c r="C164" s="64"/>
      <c r="D164" s="379"/>
      <c r="E164" s="384"/>
      <c r="F164" s="68" t="str">
        <f>F14</f>
        <v>норматив на 2023 год :</v>
      </c>
      <c r="G164" s="134">
        <v>13500</v>
      </c>
      <c r="H164" s="243" t="s">
        <v>294</v>
      </c>
      <c r="I164" s="69">
        <f>ROUNDUP(I163*(1.0822),2)</f>
        <v>48.699999999999996</v>
      </c>
      <c r="J164" s="67" t="s">
        <v>41</v>
      </c>
      <c r="K164" s="153">
        <f>ROUND((G164*I164),2)</f>
        <v>657450</v>
      </c>
      <c r="L164" s="67" t="s">
        <v>41</v>
      </c>
      <c r="M164" s="70">
        <f>ROUNDUP((K164),0)</f>
        <v>657450</v>
      </c>
      <c r="N164" s="71" t="s">
        <v>37</v>
      </c>
      <c r="O164" s="70">
        <f t="shared" si="82"/>
        <v>657450</v>
      </c>
      <c r="P164" s="67" t="s">
        <v>332</v>
      </c>
      <c r="Q164" s="72"/>
      <c r="R164" s="72"/>
      <c r="S164" s="65"/>
      <c r="T164" s="485"/>
      <c r="U164" s="485"/>
      <c r="V164" s="485"/>
      <c r="W164" s="132" t="str">
        <f>""&amp;TEXT(G164,"0,0")&amp;" шт. х "&amp;TEXT(ROUND((I164),2),"0,00")&amp;" руб. = "&amp;TEXT(ROUND((K164),2),"0 000,00")&amp;" руб. = "&amp;TEXT(M164,"0 000,00")&amp;" руб."</f>
        <v>13500,0 шт. х 48,70 руб. = 657 450,00 руб. = 657 450,00 руб.</v>
      </c>
    </row>
    <row r="165" spans="1:23" ht="24.75" customHeight="1" x14ac:dyDescent="0.25">
      <c r="A165" s="383"/>
      <c r="B165" s="377"/>
      <c r="C165" s="64"/>
      <c r="D165" s="379"/>
      <c r="E165" s="384"/>
      <c r="F165" s="68" t="str">
        <f>F15</f>
        <v>норматив на 2024 год :</v>
      </c>
      <c r="G165" s="134">
        <f>G164</f>
        <v>13500</v>
      </c>
      <c r="H165" s="243" t="s">
        <v>294</v>
      </c>
      <c r="I165" s="69">
        <f>ROUNDUP(I164*(1.0487),2)</f>
        <v>51.08</v>
      </c>
      <c r="J165" s="67" t="s">
        <v>41</v>
      </c>
      <c r="K165" s="153">
        <f t="shared" ref="K165:K166" si="83">ROUND((G165*I165),2)</f>
        <v>689580</v>
      </c>
      <c r="L165" s="67" t="s">
        <v>41</v>
      </c>
      <c r="M165" s="70">
        <f t="shared" ref="M165:M166" si="84">ROUNDUP((K165),0)</f>
        <v>689580</v>
      </c>
      <c r="N165" s="67" t="s">
        <v>41</v>
      </c>
      <c r="O165" s="70">
        <f t="shared" si="82"/>
        <v>689580</v>
      </c>
      <c r="P165" s="67" t="s">
        <v>332</v>
      </c>
      <c r="Q165" s="72"/>
      <c r="R165" s="72"/>
      <c r="S165" s="65"/>
      <c r="T165" s="485"/>
      <c r="U165" s="485"/>
      <c r="V165" s="485"/>
      <c r="W165" s="132" t="str">
        <f t="shared" ref="W165:W166" si="85">""&amp;TEXT(G165,"0,0")&amp;" шт. х "&amp;TEXT(ROUND((I165),2),"0,00")&amp;" руб. = "&amp;TEXT(ROUND((K165),2),"0 000,00")&amp;" руб. = "&amp;TEXT(M165,"0 000,00")&amp;" руб."</f>
        <v>13500,0 шт. х 51,08 руб. = 689 580,00 руб. = 689 580,00 руб.</v>
      </c>
    </row>
    <row r="166" spans="1:23" ht="24.75" customHeight="1" x14ac:dyDescent="0.25">
      <c r="A166" s="383"/>
      <c r="B166" s="377"/>
      <c r="C166" s="64"/>
      <c r="D166" s="379"/>
      <c r="E166" s="384"/>
      <c r="F166" s="68" t="str">
        <f>F16</f>
        <v>норматив на 2025 год :</v>
      </c>
      <c r="G166" s="134">
        <f>G165</f>
        <v>13500</v>
      </c>
      <c r="H166" s="243" t="s">
        <v>294</v>
      </c>
      <c r="I166" s="69">
        <f>ROUNDUP(I165*(1.0457),2)</f>
        <v>53.419999999999995</v>
      </c>
      <c r="J166" s="67" t="s">
        <v>41</v>
      </c>
      <c r="K166" s="153">
        <f t="shared" si="83"/>
        <v>721170</v>
      </c>
      <c r="L166" s="67" t="s">
        <v>41</v>
      </c>
      <c r="M166" s="70">
        <f t="shared" si="84"/>
        <v>721170</v>
      </c>
      <c r="N166" s="67" t="s">
        <v>25</v>
      </c>
      <c r="O166" s="70">
        <f t="shared" si="82"/>
        <v>721170</v>
      </c>
      <c r="P166" s="67" t="s">
        <v>332</v>
      </c>
      <c r="Q166" s="70"/>
      <c r="R166" s="71"/>
      <c r="S166" s="65"/>
      <c r="T166" s="486"/>
      <c r="U166" s="486"/>
      <c r="V166" s="486"/>
      <c r="W166" s="132" t="str">
        <f t="shared" si="85"/>
        <v>13500,0 шт. х 53,42 руб. = 721 170,00 руб. = 721 170,00 руб.</v>
      </c>
    </row>
    <row r="167" spans="1:23" ht="60" x14ac:dyDescent="0.25">
      <c r="A167" s="241" t="s">
        <v>19</v>
      </c>
      <c r="B167" s="258" t="s">
        <v>93</v>
      </c>
      <c r="C167" s="52"/>
      <c r="D167" s="133" t="s">
        <v>35</v>
      </c>
      <c r="E167" s="133" t="s">
        <v>35</v>
      </c>
      <c r="F167" s="423"/>
      <c r="G167" s="424"/>
      <c r="H167" s="424"/>
      <c r="I167" s="424"/>
      <c r="J167" s="424"/>
      <c r="K167" s="424"/>
      <c r="L167" s="424"/>
      <c r="M167" s="424"/>
      <c r="N167" s="424"/>
      <c r="O167" s="424"/>
      <c r="P167" s="424"/>
      <c r="Q167" s="424"/>
      <c r="R167" s="424"/>
      <c r="S167" s="424"/>
      <c r="T167" s="255">
        <f>SUM(T168:T192)</f>
        <v>3557310</v>
      </c>
      <c r="U167" s="255">
        <f>SUM(U168:U192)</f>
        <v>3730550</v>
      </c>
      <c r="V167" s="255">
        <f>SUM(V168:V192)</f>
        <v>3901040</v>
      </c>
      <c r="W167" s="132" t="str">
        <f>"Нормативные "&amp;TEXT(B167,"0")&amp;" включают в себя:
нормативные "&amp;TEXT(B168,"0")&amp;";
нормативные "&amp;TEXT(B173,"0")&amp;";
нормативные "&amp;TEXT(B178,"0")&amp;"; нормативные "&amp;TEXT(B183,"0")&amp;""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
нормативные затраты на оказание услуг по обучению персрнала;
нормативные затраты на оказание нотариальных услуг; нормативные затраты на оказание архивных услуг по переплету документов</v>
      </c>
    </row>
    <row r="168" spans="1:23" ht="102" customHeight="1" x14ac:dyDescent="0.25">
      <c r="A168" s="383" t="s">
        <v>20</v>
      </c>
      <c r="B168" s="376" t="s">
        <v>189</v>
      </c>
      <c r="C168" s="64"/>
      <c r="D168" s="378">
        <v>226</v>
      </c>
      <c r="E168" s="378">
        <v>244</v>
      </c>
      <c r="F168" s="380" t="s">
        <v>249</v>
      </c>
      <c r="G168" s="380"/>
      <c r="H168" s="380"/>
      <c r="I168" s="380"/>
      <c r="J168" s="380"/>
      <c r="K168" s="380"/>
      <c r="L168" s="380"/>
      <c r="M168" s="380"/>
      <c r="N168" s="380"/>
      <c r="O168" s="380"/>
      <c r="P168" s="380"/>
      <c r="Q168" s="380"/>
      <c r="R168" s="380"/>
      <c r="S168" s="65"/>
      <c r="T168" s="485">
        <f>O170</f>
        <v>229000</v>
      </c>
      <c r="U168" s="485">
        <f>O171</f>
        <v>240150</v>
      </c>
      <c r="V168" s="485">
        <f>O172</f>
        <v>251130</v>
      </c>
      <c r="W168" s="132" t="s">
        <v>210</v>
      </c>
    </row>
    <row r="169" spans="1:23" ht="18" customHeight="1" outlineLevel="1" x14ac:dyDescent="0.25">
      <c r="A169" s="437"/>
      <c r="B169" s="377"/>
      <c r="C169" s="64"/>
      <c r="D169" s="379"/>
      <c r="E169" s="384"/>
      <c r="F169" s="61">
        <v>2022</v>
      </c>
      <c r="G169" s="153">
        <v>46</v>
      </c>
      <c r="H169" s="67" t="s">
        <v>60</v>
      </c>
      <c r="I169" s="153">
        <v>4600</v>
      </c>
      <c r="J169" s="67" t="s">
        <v>41</v>
      </c>
      <c r="K169" s="153">
        <f>ROUND((G169*I169),2)</f>
        <v>211600</v>
      </c>
      <c r="L169" s="67" t="s">
        <v>37</v>
      </c>
      <c r="M169" s="67"/>
      <c r="N169" s="67"/>
      <c r="O169" s="70">
        <f t="shared" ref="O169:O172" si="86">ROUNDUP((M169),-1)</f>
        <v>0</v>
      </c>
      <c r="P169" s="67"/>
      <c r="Q169" s="67"/>
      <c r="R169" s="65"/>
      <c r="S169" s="65"/>
      <c r="T169" s="485"/>
      <c r="U169" s="485"/>
      <c r="V169" s="485"/>
      <c r="W169" s="132"/>
    </row>
    <row r="170" spans="1:23" ht="19.5" customHeight="1" x14ac:dyDescent="0.25">
      <c r="A170" s="437"/>
      <c r="B170" s="377"/>
      <c r="C170" s="64"/>
      <c r="D170" s="379"/>
      <c r="E170" s="384"/>
      <c r="F170" s="68" t="str">
        <f>F14</f>
        <v>норматив на 2023 год :</v>
      </c>
      <c r="G170" s="153">
        <v>46</v>
      </c>
      <c r="H170" s="67" t="s">
        <v>333</v>
      </c>
      <c r="I170" s="153">
        <f>I169*1.0822</f>
        <v>4978.12</v>
      </c>
      <c r="J170" s="67" t="s">
        <v>41</v>
      </c>
      <c r="K170" s="153">
        <f>ROUND((G170*I170),2)</f>
        <v>228993.52</v>
      </c>
      <c r="L170" s="67" t="s">
        <v>41</v>
      </c>
      <c r="M170" s="70">
        <f>ROUNDUP((K170),0)</f>
        <v>228994</v>
      </c>
      <c r="N170" s="71" t="s">
        <v>37</v>
      </c>
      <c r="O170" s="70">
        <f t="shared" si="86"/>
        <v>229000</v>
      </c>
      <c r="P170" s="67" t="s">
        <v>332</v>
      </c>
      <c r="Q170" s="72"/>
      <c r="R170" s="72"/>
      <c r="S170" s="65"/>
      <c r="T170" s="485"/>
      <c r="U170" s="485"/>
      <c r="V170" s="485"/>
      <c r="W170" s="132" t="str">
        <f>""&amp;TEXT($G$169,"0,0")&amp;" у.ед. х "&amp;TEXT(ROUND((I170),2),"0 000,00")&amp;" руб. = "&amp;TEXT(ROUND(($G$169*(ROUND((K170/$G$169),2))),2),"0 000,00")&amp;" руб. = "&amp;TEXT(O170,"0 000,00")&amp;" руб."</f>
        <v>46,0 у.ед. х 4 978,12 руб. = 228 993,52 руб. = 229 000,00 руб.</v>
      </c>
    </row>
    <row r="171" spans="1:23" ht="19.5" customHeight="1" x14ac:dyDescent="0.25">
      <c r="A171" s="437"/>
      <c r="B171" s="377"/>
      <c r="C171" s="64"/>
      <c r="D171" s="379"/>
      <c r="E171" s="384"/>
      <c r="F171" s="68" t="str">
        <f>F15</f>
        <v>норматив на 2024 год :</v>
      </c>
      <c r="G171" s="153">
        <f>G170</f>
        <v>46</v>
      </c>
      <c r="H171" s="67" t="s">
        <v>333</v>
      </c>
      <c r="I171" s="153">
        <f>I170*1.0487</f>
        <v>5220.5544439999994</v>
      </c>
      <c r="J171" s="67" t="s">
        <v>41</v>
      </c>
      <c r="K171" s="153">
        <f t="shared" ref="K171:K172" si="87">ROUND((G171*I171),2)</f>
        <v>240145.5</v>
      </c>
      <c r="L171" s="67" t="s">
        <v>41</v>
      </c>
      <c r="M171" s="70">
        <f t="shared" ref="M171:M172" si="88">ROUNDUP((K171),0)</f>
        <v>240146</v>
      </c>
      <c r="N171" s="67" t="s">
        <v>41</v>
      </c>
      <c r="O171" s="70">
        <f t="shared" si="86"/>
        <v>240150</v>
      </c>
      <c r="P171" s="67" t="s">
        <v>332</v>
      </c>
      <c r="Q171" s="72"/>
      <c r="R171" s="72"/>
      <c r="S171" s="65"/>
      <c r="T171" s="485"/>
      <c r="U171" s="485"/>
      <c r="V171" s="485"/>
      <c r="W171" s="152" t="str">
        <f>""&amp;TEXT($G$169,"0,0")&amp;" у.ед. х "&amp;TEXT(ROUND((I171),2),"0 000,00")&amp;" руб. = "&amp;TEXT(ROUND(($G$169*(ROUND((K171/$G$169),2))),2),"0 000,00")&amp;" руб. = "&amp;TEXT(O171,"0 000,00")&amp;" руб."</f>
        <v>46,0 у.ед. х 5 220,55 руб. = 240 145,30 руб. = 240 150,00 руб.</v>
      </c>
    </row>
    <row r="172" spans="1:23" ht="19.5" customHeight="1" x14ac:dyDescent="0.25">
      <c r="A172" s="437"/>
      <c r="B172" s="377"/>
      <c r="C172" s="64"/>
      <c r="D172" s="379"/>
      <c r="E172" s="384"/>
      <c r="F172" s="68" t="str">
        <f>F16</f>
        <v>норматив на 2025 год :</v>
      </c>
      <c r="G172" s="153">
        <f>G171</f>
        <v>46</v>
      </c>
      <c r="H172" s="67" t="s">
        <v>333</v>
      </c>
      <c r="I172" s="153">
        <f>I171*1.0457</f>
        <v>5459.1337820908002</v>
      </c>
      <c r="J172" s="67" t="s">
        <v>41</v>
      </c>
      <c r="K172" s="153">
        <f t="shared" si="87"/>
        <v>251120.15</v>
      </c>
      <c r="L172" s="67" t="s">
        <v>41</v>
      </c>
      <c r="M172" s="70">
        <f t="shared" si="88"/>
        <v>251121</v>
      </c>
      <c r="N172" s="67" t="s">
        <v>25</v>
      </c>
      <c r="O172" s="70">
        <f t="shared" si="86"/>
        <v>251130</v>
      </c>
      <c r="P172" s="67" t="s">
        <v>332</v>
      </c>
      <c r="Q172" s="70"/>
      <c r="R172" s="71"/>
      <c r="S172" s="65"/>
      <c r="T172" s="486"/>
      <c r="U172" s="486"/>
      <c r="V172" s="486"/>
      <c r="W172" s="152" t="str">
        <f>""&amp;TEXT($G$169,"0,0")&amp;" у.ед. х "&amp;TEXT(ROUND((I172),2),"0 000,00")&amp;" руб. = "&amp;TEXT(ROUND(($G$169*(ROUND((K172/$G$169),2))),2),"0 000,00")&amp;" руб. = "&amp;TEXT(O172,"0 000,00")&amp;" руб."</f>
        <v>46,0 у.ед. х 5 459,13 руб. = 251 119,98 руб. = 251 130,00 руб.</v>
      </c>
    </row>
    <row r="173" spans="1:23" ht="121.5" customHeight="1" x14ac:dyDescent="0.25">
      <c r="A173" s="383" t="s">
        <v>21</v>
      </c>
      <c r="B173" s="376" t="s">
        <v>211</v>
      </c>
      <c r="C173" s="64"/>
      <c r="D173" s="378">
        <v>226</v>
      </c>
      <c r="E173" s="378">
        <v>244</v>
      </c>
      <c r="F173" s="380" t="s">
        <v>249</v>
      </c>
      <c r="G173" s="380"/>
      <c r="H173" s="380"/>
      <c r="I173" s="380"/>
      <c r="J173" s="380"/>
      <c r="K173" s="380"/>
      <c r="L173" s="380"/>
      <c r="M173" s="380"/>
      <c r="N173" s="380"/>
      <c r="O173" s="380"/>
      <c r="P173" s="380"/>
      <c r="Q173" s="380"/>
      <c r="R173" s="380"/>
      <c r="S173" s="65"/>
      <c r="T173" s="485">
        <f>O175</f>
        <v>1107100</v>
      </c>
      <c r="U173" s="485">
        <f>O176</f>
        <v>1161010</v>
      </c>
      <c r="V173" s="485">
        <f>O177</f>
        <v>1214070</v>
      </c>
      <c r="W173" s="132" t="s">
        <v>79</v>
      </c>
    </row>
    <row r="174" spans="1:23" ht="16.5" customHeight="1" outlineLevel="1" x14ac:dyDescent="0.25">
      <c r="A174" s="383"/>
      <c r="B174" s="377"/>
      <c r="C174" s="64"/>
      <c r="D174" s="379"/>
      <c r="E174" s="379"/>
      <c r="F174" s="61">
        <v>2022</v>
      </c>
      <c r="G174" s="153">
        <v>30</v>
      </c>
      <c r="H174" s="67" t="s">
        <v>66</v>
      </c>
      <c r="I174" s="153">
        <v>1</v>
      </c>
      <c r="J174" s="67" t="s">
        <v>336</v>
      </c>
      <c r="K174" s="153">
        <v>34100</v>
      </c>
      <c r="L174" s="67" t="s">
        <v>41</v>
      </c>
      <c r="M174" s="153">
        <f>ROUND((G174*I174*K174),2)</f>
        <v>1023000</v>
      </c>
      <c r="N174" s="67" t="s">
        <v>37</v>
      </c>
      <c r="O174" s="70">
        <f t="shared" ref="O174:O177" si="89">ROUNDUP((M174),-1)</f>
        <v>1023000</v>
      </c>
      <c r="P174" s="67"/>
      <c r="Q174" s="61"/>
      <c r="R174" s="65"/>
      <c r="S174" s="65"/>
      <c r="T174" s="485"/>
      <c r="U174" s="485"/>
      <c r="V174" s="485"/>
    </row>
    <row r="175" spans="1:23" ht="18.75" customHeight="1" x14ac:dyDescent="0.25">
      <c r="A175" s="383"/>
      <c r="B175" s="377"/>
      <c r="C175" s="64"/>
      <c r="D175" s="379"/>
      <c r="E175" s="379"/>
      <c r="F175" s="68" t="str">
        <f>F14</f>
        <v>норматив на 2023 год :</v>
      </c>
      <c r="G175" s="153">
        <f>G174</f>
        <v>30</v>
      </c>
      <c r="H175" s="67" t="s">
        <v>334</v>
      </c>
      <c r="I175" s="69">
        <v>1</v>
      </c>
      <c r="J175" s="67" t="s">
        <v>336</v>
      </c>
      <c r="K175" s="153">
        <f>K174*1.0822</f>
        <v>36903.020000000004</v>
      </c>
      <c r="L175" s="67" t="s">
        <v>41</v>
      </c>
      <c r="M175" s="153">
        <f t="shared" ref="M175:M177" si="90">ROUND((G175*I175*K175),2)</f>
        <v>1107090.6000000001</v>
      </c>
      <c r="N175" s="67" t="s">
        <v>37</v>
      </c>
      <c r="O175" s="70">
        <f t="shared" si="89"/>
        <v>1107100</v>
      </c>
      <c r="P175" s="67" t="s">
        <v>332</v>
      </c>
      <c r="Q175" s="72"/>
      <c r="R175" s="72"/>
      <c r="S175" s="65"/>
      <c r="T175" s="486"/>
      <c r="U175" s="486"/>
      <c r="V175" s="486"/>
      <c r="W175" s="132" t="str">
        <f>""&amp;TEXT($G$174,"0,0")&amp;" чел. х "&amp;TEXT($I$174,"0,0")&amp;" раз х "&amp;TEXT(ROUND((M175/$G$174/$I$174),2),"0 000,00")&amp;" руб. = "&amp;TEXT(ROUND((($G$174*$I$174*ROUND((M175/$G$174/$I$174),2))),2),"0 000,00")&amp;" руб. = "&amp;TEXT(O175,"0 000,00")&amp;" руб."</f>
        <v>30,0 чел. х 1,0 раз х 36 903,02 руб. = 1 107 090,60 руб. = 1 107 100,00 руб.</v>
      </c>
    </row>
    <row r="176" spans="1:23" ht="18.75" customHeight="1" x14ac:dyDescent="0.25">
      <c r="A176" s="383"/>
      <c r="B176" s="377"/>
      <c r="C176" s="64"/>
      <c r="D176" s="379"/>
      <c r="E176" s="379"/>
      <c r="F176" s="68" t="str">
        <f>F15</f>
        <v>норматив на 2024 год :</v>
      </c>
      <c r="G176" s="153">
        <f>G175</f>
        <v>30</v>
      </c>
      <c r="H176" s="67" t="str">
        <f>H175</f>
        <v xml:space="preserve">чел. х индекс потребительских цен </v>
      </c>
      <c r="I176" s="69">
        <v>1</v>
      </c>
      <c r="J176" s="67" t="s">
        <v>336</v>
      </c>
      <c r="K176" s="153">
        <f>K175*1.0487</f>
        <v>38700.197074000003</v>
      </c>
      <c r="L176" s="67" t="s">
        <v>41</v>
      </c>
      <c r="M176" s="153">
        <f t="shared" si="90"/>
        <v>1161005.9099999999</v>
      </c>
      <c r="N176" s="67" t="s">
        <v>37</v>
      </c>
      <c r="O176" s="70">
        <f t="shared" si="89"/>
        <v>1161010</v>
      </c>
      <c r="P176" s="67" t="s">
        <v>332</v>
      </c>
      <c r="Q176" s="72"/>
      <c r="R176" s="72"/>
      <c r="S176" s="65"/>
      <c r="T176" s="486"/>
      <c r="U176" s="486"/>
      <c r="V176" s="486"/>
      <c r="W176" s="132" t="str">
        <f>""&amp;TEXT($G$174,"0,0")&amp;" чел. х "&amp;TEXT($I$174,"0,0")&amp;" раз х "&amp;TEXT(ROUND((M176/$G$174/$I$174),2),"0 000,00")&amp;" руб. = "&amp;TEXT(ROUND((($G$174*$I$174*ROUND((M176/$G$174/$I$174),2))),2),"0 000,00")&amp;" руб. = "&amp;TEXT(O176,"0 000,00")&amp;" руб."</f>
        <v>30,0 чел. х 1,0 раз х 38 700,20 руб. = 1 161 006,00 руб. = 1 161 010,00 руб.</v>
      </c>
    </row>
    <row r="177" spans="1:23" ht="18.75" customHeight="1" x14ac:dyDescent="0.25">
      <c r="A177" s="383"/>
      <c r="B177" s="377"/>
      <c r="C177" s="64"/>
      <c r="D177" s="379"/>
      <c r="E177" s="379"/>
      <c r="F177" s="68" t="str">
        <f>F16</f>
        <v>норматив на 2025 год :</v>
      </c>
      <c r="G177" s="153">
        <f>G176</f>
        <v>30</v>
      </c>
      <c r="H177" s="67" t="str">
        <f>H175</f>
        <v xml:space="preserve">чел. х индекс потребительских цен </v>
      </c>
      <c r="I177" s="69">
        <v>1</v>
      </c>
      <c r="J177" s="67" t="s">
        <v>336</v>
      </c>
      <c r="K177" s="153">
        <f>K176*1.0457</f>
        <v>40468.796080281805</v>
      </c>
      <c r="L177" s="67" t="s">
        <v>41</v>
      </c>
      <c r="M177" s="153">
        <f t="shared" si="90"/>
        <v>1214063.8799999999</v>
      </c>
      <c r="N177" s="67" t="s">
        <v>37</v>
      </c>
      <c r="O177" s="70">
        <f t="shared" si="89"/>
        <v>1214070</v>
      </c>
      <c r="P177" s="67" t="s">
        <v>332</v>
      </c>
      <c r="Q177" s="70"/>
      <c r="R177" s="71"/>
      <c r="S177" s="65"/>
      <c r="T177" s="486"/>
      <c r="U177" s="486"/>
      <c r="V177" s="486"/>
      <c r="W177" s="132" t="str">
        <f>""&amp;TEXT($G$174,"0,0")&amp;" чел. х "&amp;TEXT($I$174,"0,0")&amp;" раз х "&amp;TEXT(ROUND((M177/$G$174/$I$174),2),"0 000,00")&amp;" руб. = "&amp;TEXT(ROUND((($G$174*$I$174*ROUND((M177/$G$174/$I$174),2))),2),"0 000,00")&amp;" руб. = "&amp;TEXT(O177,"0 000,00")&amp;" руб."</f>
        <v>30,0 чел. х 1,0 раз х 40 468,80 руб. = 1 214 064,00 руб. = 1 214 070,00 руб.</v>
      </c>
    </row>
    <row r="178" spans="1:23" ht="90" x14ac:dyDescent="0.25">
      <c r="A178" s="383" t="s">
        <v>22</v>
      </c>
      <c r="B178" s="376" t="s">
        <v>96</v>
      </c>
      <c r="C178" s="64"/>
      <c r="D178" s="378">
        <v>226</v>
      </c>
      <c r="E178" s="378">
        <v>244</v>
      </c>
      <c r="F178" s="380" t="s">
        <v>249</v>
      </c>
      <c r="G178" s="380"/>
      <c r="H178" s="380"/>
      <c r="I178" s="380"/>
      <c r="J178" s="380"/>
      <c r="K178" s="380"/>
      <c r="L178" s="380"/>
      <c r="M178" s="380"/>
      <c r="N178" s="380"/>
      <c r="O178" s="380"/>
      <c r="P178" s="380"/>
      <c r="Q178" s="380"/>
      <c r="R178" s="380"/>
      <c r="S178" s="65"/>
      <c r="T178" s="485">
        <f>O180</f>
        <v>4680</v>
      </c>
      <c r="U178" s="485">
        <f>O181</f>
        <v>4910</v>
      </c>
      <c r="V178" s="485">
        <f>O182</f>
        <v>5130</v>
      </c>
      <c r="W178" s="132" t="s">
        <v>174</v>
      </c>
    </row>
    <row r="179" spans="1:23" ht="17.25" customHeight="1" outlineLevel="1" x14ac:dyDescent="0.25">
      <c r="A179" s="383"/>
      <c r="B179" s="377"/>
      <c r="C179" s="64"/>
      <c r="D179" s="379"/>
      <c r="E179" s="379"/>
      <c r="F179" s="61">
        <v>2022</v>
      </c>
      <c r="G179" s="134">
        <v>2</v>
      </c>
      <c r="H179" s="67" t="s">
        <v>80</v>
      </c>
      <c r="I179" s="134">
        <v>2160.92</v>
      </c>
      <c r="J179" s="67" t="s">
        <v>41</v>
      </c>
      <c r="K179" s="134">
        <f>I179*G179</f>
        <v>4321.84</v>
      </c>
      <c r="L179" s="67" t="s">
        <v>37</v>
      </c>
      <c r="M179" s="67"/>
      <c r="N179" s="67"/>
      <c r="O179" s="70">
        <f t="shared" ref="O179:O182" si="91">ROUNDUP((M179),-1)</f>
        <v>0</v>
      </c>
      <c r="P179" s="67"/>
      <c r="Q179" s="67"/>
      <c r="R179" s="65"/>
      <c r="S179" s="65"/>
      <c r="T179" s="485"/>
      <c r="U179" s="485"/>
      <c r="V179" s="485"/>
      <c r="W179" s="132"/>
    </row>
    <row r="180" spans="1:23" ht="19.5" customHeight="1" x14ac:dyDescent="0.25">
      <c r="A180" s="383"/>
      <c r="B180" s="377"/>
      <c r="C180" s="64"/>
      <c r="D180" s="379"/>
      <c r="E180" s="379"/>
      <c r="F180" s="68" t="str">
        <f>F14</f>
        <v>норматив на 2023 год :</v>
      </c>
      <c r="G180" s="134">
        <v>2</v>
      </c>
      <c r="H180" s="67" t="s">
        <v>80</v>
      </c>
      <c r="I180" s="153">
        <f>I179*1.0822</f>
        <v>2338.5476240000003</v>
      </c>
      <c r="J180" s="67" t="s">
        <v>41</v>
      </c>
      <c r="K180" s="153">
        <f t="shared" ref="K180:K182" si="92">I180*G180</f>
        <v>4677.0952480000005</v>
      </c>
      <c r="L180" s="67" t="s">
        <v>41</v>
      </c>
      <c r="M180" s="70">
        <f>ROUNDUP((K180),0)</f>
        <v>4678</v>
      </c>
      <c r="N180" s="71" t="s">
        <v>37</v>
      </c>
      <c r="O180" s="70">
        <f t="shared" si="91"/>
        <v>4680</v>
      </c>
      <c r="P180" s="71" t="s">
        <v>37</v>
      </c>
      <c r="Q180" s="70"/>
      <c r="R180" s="72"/>
      <c r="S180" s="65"/>
      <c r="T180" s="486"/>
      <c r="U180" s="486"/>
      <c r="V180" s="486"/>
      <c r="W180" s="132" t="str">
        <f>""&amp;TEXT($G$179,"0,0")&amp;" ед. х "&amp;TEXT(ROUND((I180),2),"0 000,00")&amp;" руб. = "&amp;TEXT(ROUND(((ROUND((M180),2))),2),"0 000,00")&amp;" руб. = "&amp;TEXT(O180,"0 000,00")&amp;" руб."</f>
        <v>2,0 ед. х 2 338,55 руб. = 4 678,00 руб. = 4 680,00 руб.</v>
      </c>
    </row>
    <row r="181" spans="1:23" ht="19.5" customHeight="1" x14ac:dyDescent="0.25">
      <c r="A181" s="383"/>
      <c r="B181" s="377"/>
      <c r="C181" s="64"/>
      <c r="D181" s="379"/>
      <c r="E181" s="379"/>
      <c r="F181" s="68" t="str">
        <f>F15</f>
        <v>норматив на 2024 год :</v>
      </c>
      <c r="G181" s="134">
        <v>2</v>
      </c>
      <c r="H181" s="67" t="s">
        <v>80</v>
      </c>
      <c r="I181" s="153">
        <f>I180*1.0487</f>
        <v>2452.4348932888001</v>
      </c>
      <c r="J181" s="67" t="s">
        <v>41</v>
      </c>
      <c r="K181" s="153">
        <f t="shared" si="92"/>
        <v>4904.8697865776003</v>
      </c>
      <c r="L181" s="67" t="s">
        <v>41</v>
      </c>
      <c r="M181" s="70">
        <f t="shared" ref="M181:M182" si="93">ROUNDUP((K181),0)</f>
        <v>4905</v>
      </c>
      <c r="N181" s="71" t="s">
        <v>37</v>
      </c>
      <c r="O181" s="70">
        <f t="shared" si="91"/>
        <v>4910</v>
      </c>
      <c r="P181" s="71" t="s">
        <v>37</v>
      </c>
      <c r="Q181" s="70"/>
      <c r="R181" s="72"/>
      <c r="S181" s="65"/>
      <c r="T181" s="486"/>
      <c r="U181" s="486"/>
      <c r="V181" s="486"/>
      <c r="W181" s="132" t="str">
        <f t="shared" ref="W181:W182" si="94">""&amp;TEXT($G$179,"0,0")&amp;" ед. х "&amp;TEXT(ROUND((I181),2),"0 000,00")&amp;" руб. = "&amp;TEXT(ROUND(((ROUND((M181),2))),2),"0 000,00")&amp;" руб. = "&amp;TEXT(O181,"0 000,00")&amp;" руб."</f>
        <v>2,0 ед. х 2 452,43 руб. = 4 905,00 руб. = 4 910,00 руб.</v>
      </c>
    </row>
    <row r="182" spans="1:23" ht="19.5" customHeight="1" x14ac:dyDescent="0.25">
      <c r="A182" s="383"/>
      <c r="B182" s="377"/>
      <c r="C182" s="64"/>
      <c r="D182" s="379"/>
      <c r="E182" s="379"/>
      <c r="F182" s="68" t="str">
        <f>F16</f>
        <v>норматив на 2025 год :</v>
      </c>
      <c r="G182" s="134">
        <v>2</v>
      </c>
      <c r="H182" s="67" t="s">
        <v>80</v>
      </c>
      <c r="I182" s="153">
        <f>I181*1.0457</f>
        <v>2564.5111679120987</v>
      </c>
      <c r="J182" s="67" t="s">
        <v>41</v>
      </c>
      <c r="K182" s="153">
        <f t="shared" si="92"/>
        <v>5129.0223358241974</v>
      </c>
      <c r="L182" s="67" t="s">
        <v>41</v>
      </c>
      <c r="M182" s="70">
        <f t="shared" si="93"/>
        <v>5130</v>
      </c>
      <c r="N182" s="71" t="s">
        <v>37</v>
      </c>
      <c r="O182" s="70">
        <f t="shared" si="91"/>
        <v>5130</v>
      </c>
      <c r="P182" s="71" t="s">
        <v>37</v>
      </c>
      <c r="Q182" s="70"/>
      <c r="R182" s="71"/>
      <c r="S182" s="65"/>
      <c r="T182" s="486"/>
      <c r="U182" s="486"/>
      <c r="V182" s="486"/>
      <c r="W182" s="132" t="str">
        <f t="shared" si="94"/>
        <v>2,0 ед. х 2 564,51 руб. = 5 130,00 руб. = 5 130,00 руб.</v>
      </c>
    </row>
    <row r="183" spans="1:23" ht="90" x14ac:dyDescent="0.25">
      <c r="A183" s="388" t="s">
        <v>190</v>
      </c>
      <c r="B183" s="391" t="s">
        <v>191</v>
      </c>
      <c r="C183" s="64"/>
      <c r="D183" s="394">
        <v>226</v>
      </c>
      <c r="E183" s="394">
        <v>244</v>
      </c>
      <c r="F183" s="380" t="s">
        <v>249</v>
      </c>
      <c r="G183" s="380"/>
      <c r="H183" s="380"/>
      <c r="I183" s="380"/>
      <c r="J183" s="380"/>
      <c r="K183" s="380"/>
      <c r="L183" s="380"/>
      <c r="M183" s="380"/>
      <c r="N183" s="380"/>
      <c r="O183" s="380"/>
      <c r="P183" s="380"/>
      <c r="Q183" s="380"/>
      <c r="R183" s="380"/>
      <c r="S183" s="65"/>
      <c r="T183" s="482">
        <f>O185</f>
        <v>2142760</v>
      </c>
      <c r="U183" s="482">
        <f>O186</f>
        <v>2247110</v>
      </c>
      <c r="V183" s="482">
        <f>O187</f>
        <v>2349810</v>
      </c>
      <c r="W183" s="132" t="s">
        <v>337</v>
      </c>
    </row>
    <row r="184" spans="1:23" ht="21" customHeight="1" x14ac:dyDescent="0.25">
      <c r="A184" s="389"/>
      <c r="B184" s="392"/>
      <c r="C184" s="64"/>
      <c r="D184" s="395"/>
      <c r="E184" s="395"/>
      <c r="F184" s="61">
        <v>2022</v>
      </c>
      <c r="G184" s="134">
        <v>3000</v>
      </c>
      <c r="H184" s="67" t="s">
        <v>195</v>
      </c>
      <c r="I184" s="153">
        <v>660</v>
      </c>
      <c r="J184" s="67" t="s">
        <v>41</v>
      </c>
      <c r="K184" s="69"/>
      <c r="L184" s="67" t="s">
        <v>37</v>
      </c>
      <c r="M184" s="134"/>
      <c r="N184" s="67"/>
      <c r="O184" s="70">
        <f t="shared" ref="O184:O187" si="95">ROUNDUP((M184),-1)</f>
        <v>0</v>
      </c>
      <c r="P184" s="71"/>
      <c r="Q184" s="72"/>
      <c r="R184" s="72"/>
      <c r="S184" s="65"/>
      <c r="T184" s="483"/>
      <c r="U184" s="483"/>
      <c r="V184" s="483"/>
      <c r="W184" s="132"/>
    </row>
    <row r="185" spans="1:23" ht="23.25" customHeight="1" x14ac:dyDescent="0.25">
      <c r="A185" s="389"/>
      <c r="B185" s="392"/>
      <c r="C185" s="64"/>
      <c r="D185" s="395"/>
      <c r="E185" s="395"/>
      <c r="F185" s="68" t="str">
        <f>F14</f>
        <v>норматив на 2023 год :</v>
      </c>
      <c r="G185" s="134">
        <v>3000</v>
      </c>
      <c r="H185" s="67" t="s">
        <v>195</v>
      </c>
      <c r="I185" s="153">
        <f>I184*1.0822</f>
        <v>714.25200000000007</v>
      </c>
      <c r="J185" s="67" t="s">
        <v>41</v>
      </c>
      <c r="K185" s="153">
        <f t="shared" ref="K185:K187" si="96">I185*G185</f>
        <v>2142756</v>
      </c>
      <c r="L185" s="67" t="s">
        <v>37</v>
      </c>
      <c r="M185" s="70">
        <f>ROUNDUP((K185),0)</f>
        <v>2142756</v>
      </c>
      <c r="N185" s="71" t="s">
        <v>37</v>
      </c>
      <c r="O185" s="70">
        <f t="shared" si="95"/>
        <v>2142760</v>
      </c>
      <c r="P185" s="71" t="s">
        <v>37</v>
      </c>
      <c r="Q185" s="70"/>
      <c r="R185" s="72"/>
      <c r="S185" s="65"/>
      <c r="T185" s="483"/>
      <c r="U185" s="483"/>
      <c r="V185" s="483"/>
      <c r="W185" s="132" t="str">
        <f>""&amp;TEXT($G$186,"0,0")&amp;" ед. х "&amp;TEXT(ROUND((I185),2)," 000,00")&amp;" руб. = "&amp;TEXT(ROUND(((ROUND((G185*I185),2))),2),"0 000,00")&amp;" руб. = "&amp;TEXT(O185,"0 000,00")&amp;" руб."</f>
        <v>3000,0 ед. х  714,25 руб. = 2 142 756,00 руб. = 2 142 760,00 руб.</v>
      </c>
    </row>
    <row r="186" spans="1:23" ht="21" customHeight="1" x14ac:dyDescent="0.25">
      <c r="A186" s="389"/>
      <c r="B186" s="392"/>
      <c r="C186" s="64"/>
      <c r="D186" s="395"/>
      <c r="E186" s="395"/>
      <c r="F186" s="68" t="str">
        <f>F15</f>
        <v>норматив на 2024 год :</v>
      </c>
      <c r="G186" s="134">
        <v>3000</v>
      </c>
      <c r="H186" s="67" t="s">
        <v>195</v>
      </c>
      <c r="I186" s="153">
        <f>I185*1.0487</f>
        <v>749.03607240000008</v>
      </c>
      <c r="J186" s="67" t="s">
        <v>41</v>
      </c>
      <c r="K186" s="153">
        <f t="shared" si="96"/>
        <v>2247108.2172000003</v>
      </c>
      <c r="L186" s="67" t="s">
        <v>37</v>
      </c>
      <c r="M186" s="70">
        <f t="shared" ref="M186:M187" si="97">ROUNDUP((K186),0)</f>
        <v>2247109</v>
      </c>
      <c r="N186" s="71" t="s">
        <v>37</v>
      </c>
      <c r="O186" s="70">
        <f t="shared" si="95"/>
        <v>2247110</v>
      </c>
      <c r="P186" s="71" t="s">
        <v>37</v>
      </c>
      <c r="Q186" s="70"/>
      <c r="R186" s="72"/>
      <c r="S186" s="65"/>
      <c r="T186" s="483"/>
      <c r="U186" s="483"/>
      <c r="V186" s="483"/>
      <c r="W186" s="152" t="str">
        <f t="shared" ref="W186:W187" si="98">""&amp;TEXT($G$186,"0,0")&amp;" ед. х "&amp;TEXT(ROUND((I186),2)," 000,00")&amp;" руб. = "&amp;TEXT(ROUND(((ROUND((G186*I186),2))),2),"0 000,00")&amp;" руб. = "&amp;TEXT(O186,"0 000,00")&amp;" руб."</f>
        <v>3000,0 ед. х  749,04 руб. = 2 247 108,22 руб. = 2 247 110,00 руб.</v>
      </c>
    </row>
    <row r="187" spans="1:23" ht="21" customHeight="1" x14ac:dyDescent="0.25">
      <c r="A187" s="390"/>
      <c r="B187" s="393"/>
      <c r="C187" s="64"/>
      <c r="D187" s="396"/>
      <c r="E187" s="396"/>
      <c r="F187" s="68" t="str">
        <f>F16</f>
        <v>норматив на 2025 год :</v>
      </c>
      <c r="G187" s="134">
        <v>3000</v>
      </c>
      <c r="H187" s="67" t="s">
        <v>195</v>
      </c>
      <c r="I187" s="153">
        <f>I186*1.0457</f>
        <v>783.26702090868014</v>
      </c>
      <c r="J187" s="67" t="s">
        <v>41</v>
      </c>
      <c r="K187" s="153">
        <f t="shared" si="96"/>
        <v>2349801.0627260404</v>
      </c>
      <c r="L187" s="67" t="s">
        <v>37</v>
      </c>
      <c r="M187" s="70">
        <f t="shared" si="97"/>
        <v>2349802</v>
      </c>
      <c r="N187" s="71" t="s">
        <v>37</v>
      </c>
      <c r="O187" s="70">
        <f t="shared" si="95"/>
        <v>2349810</v>
      </c>
      <c r="P187" s="71" t="s">
        <v>37</v>
      </c>
      <c r="Q187" s="70"/>
      <c r="R187" s="71"/>
      <c r="S187" s="65"/>
      <c r="T187" s="484"/>
      <c r="U187" s="484"/>
      <c r="V187" s="484"/>
      <c r="W187" s="152" t="str">
        <f t="shared" si="98"/>
        <v>3000,0 ед. х  783,27 руб. = 2 349 801,06 руб. = 2 349 810,00 руб.</v>
      </c>
    </row>
    <row r="188" spans="1:23" ht="93.75" customHeight="1" x14ac:dyDescent="0.25">
      <c r="A188" s="388" t="s">
        <v>327</v>
      </c>
      <c r="B188" s="391" t="s">
        <v>328</v>
      </c>
      <c r="C188" s="64"/>
      <c r="D188" s="394">
        <v>226</v>
      </c>
      <c r="E188" s="394">
        <v>244</v>
      </c>
      <c r="F188" s="380" t="s">
        <v>249</v>
      </c>
      <c r="G188" s="380"/>
      <c r="H188" s="380"/>
      <c r="I188" s="380"/>
      <c r="J188" s="380"/>
      <c r="K188" s="380"/>
      <c r="L188" s="380"/>
      <c r="M188" s="380"/>
      <c r="N188" s="380"/>
      <c r="O188" s="380"/>
      <c r="P188" s="380"/>
      <c r="Q188" s="380"/>
      <c r="R188" s="380"/>
      <c r="S188" s="65"/>
      <c r="T188" s="482">
        <f>O190</f>
        <v>73770</v>
      </c>
      <c r="U188" s="482">
        <f>O191</f>
        <v>77370</v>
      </c>
      <c r="V188" s="482">
        <f>O192</f>
        <v>80900</v>
      </c>
      <c r="W188" s="152" t="s">
        <v>329</v>
      </c>
    </row>
    <row r="189" spans="1:23" ht="21" customHeight="1" x14ac:dyDescent="0.25">
      <c r="A189" s="389"/>
      <c r="B189" s="392"/>
      <c r="C189" s="64"/>
      <c r="D189" s="395"/>
      <c r="E189" s="395"/>
      <c r="F189" s="61">
        <v>2022</v>
      </c>
      <c r="G189" s="153">
        <v>1</v>
      </c>
      <c r="H189" s="67" t="s">
        <v>231</v>
      </c>
      <c r="I189" s="153">
        <f>ROUNDUP((68166.67/G189),2)</f>
        <v>68166.67</v>
      </c>
      <c r="J189" s="67" t="s">
        <v>41</v>
      </c>
      <c r="K189" s="153">
        <f t="shared" ref="K189:K192" si="99">I189*G189</f>
        <v>68166.67</v>
      </c>
      <c r="L189" s="67" t="s">
        <v>37</v>
      </c>
      <c r="M189" s="67"/>
      <c r="N189" s="67"/>
      <c r="O189" s="70">
        <f t="shared" ref="O189:O192" si="100">ROUNDUP((M189),-1)</f>
        <v>0</v>
      </c>
      <c r="P189" s="67"/>
      <c r="Q189" s="67"/>
      <c r="R189" s="65"/>
      <c r="S189" s="65"/>
      <c r="T189" s="483"/>
      <c r="U189" s="483"/>
      <c r="V189" s="483"/>
      <c r="W189" s="152"/>
    </row>
    <row r="190" spans="1:23" ht="21" customHeight="1" x14ac:dyDescent="0.25">
      <c r="A190" s="389"/>
      <c r="B190" s="392"/>
      <c r="C190" s="64"/>
      <c r="D190" s="395"/>
      <c r="E190" s="395"/>
      <c r="F190" s="68" t="str">
        <f>F14</f>
        <v>норматив на 2023 год :</v>
      </c>
      <c r="G190" s="153">
        <v>1</v>
      </c>
      <c r="H190" s="65" t="s">
        <v>271</v>
      </c>
      <c r="I190" s="153">
        <f>I189*1.0822</f>
        <v>73769.970274000007</v>
      </c>
      <c r="J190" s="67" t="s">
        <v>41</v>
      </c>
      <c r="K190" s="153">
        <f t="shared" si="99"/>
        <v>73769.970274000007</v>
      </c>
      <c r="L190" s="67" t="s">
        <v>41</v>
      </c>
      <c r="M190" s="70">
        <f>ROUNDUP((K190),0)</f>
        <v>73770</v>
      </c>
      <c r="N190" s="71" t="s">
        <v>37</v>
      </c>
      <c r="O190" s="70">
        <f t="shared" si="100"/>
        <v>73770</v>
      </c>
      <c r="P190" s="67" t="s">
        <v>332</v>
      </c>
      <c r="Q190" s="72"/>
      <c r="R190" s="72"/>
      <c r="S190" s="65"/>
      <c r="T190" s="483"/>
      <c r="U190" s="483"/>
      <c r="V190" s="483"/>
      <c r="W190" s="152" t="str">
        <f>""&amp;TEXT(G190,"0,0")&amp;" ед. х "&amp;TEXT(ROUND((K190/G190),2),"0,00")&amp;" руб. = "&amp;TEXT(ROUND((G190*(ROUND((K190/G190),2))),2),"0 000,00")&amp;" руб. = "&amp;TEXT(O190,"0 000,00")&amp;" руб."</f>
        <v>1,0 ед. х 73769,97 руб. = 73 769,97 руб. = 73 770,00 руб.</v>
      </c>
    </row>
    <row r="191" spans="1:23" ht="21" customHeight="1" x14ac:dyDescent="0.25">
      <c r="A191" s="389"/>
      <c r="B191" s="392"/>
      <c r="C191" s="64"/>
      <c r="D191" s="395"/>
      <c r="E191" s="395"/>
      <c r="F191" s="68" t="str">
        <f>F15</f>
        <v>норматив на 2024 год :</v>
      </c>
      <c r="G191" s="153">
        <v>1</v>
      </c>
      <c r="H191" s="67" t="str">
        <f>H190</f>
        <v>ед. х средняя цена с индексом потребительских цен</v>
      </c>
      <c r="I191" s="153">
        <f>I190*1.0487</f>
        <v>77362.567826343802</v>
      </c>
      <c r="J191" s="67" t="s">
        <v>41</v>
      </c>
      <c r="K191" s="153">
        <f t="shared" si="99"/>
        <v>77362.567826343802</v>
      </c>
      <c r="L191" s="67" t="s">
        <v>41</v>
      </c>
      <c r="M191" s="70">
        <f t="shared" ref="M191:M192" si="101">ROUNDUP((K191),0)</f>
        <v>77363</v>
      </c>
      <c r="N191" s="71" t="s">
        <v>37</v>
      </c>
      <c r="O191" s="70">
        <f t="shared" si="100"/>
        <v>77370</v>
      </c>
      <c r="P191" s="67" t="s">
        <v>332</v>
      </c>
      <c r="Q191" s="72"/>
      <c r="R191" s="72"/>
      <c r="S191" s="65"/>
      <c r="T191" s="483"/>
      <c r="U191" s="483"/>
      <c r="V191" s="483"/>
      <c r="W191" s="152" t="str">
        <f>""&amp;TEXT(G191,"0,0")&amp;" ед. х "&amp;TEXT(ROUND((K191/G191),2),"0,00")&amp;" руб. = "&amp;TEXT(ROUND((G191*(ROUND((K191/G191),2))),2),"0 000,00")&amp;" руб. = "&amp;TEXT(O191,"0 000,00")&amp;" руб."</f>
        <v>1,0 ед. х 77362,57 руб. = 77 362,57 руб. = 77 370,00 руб.</v>
      </c>
    </row>
    <row r="192" spans="1:23" ht="21" customHeight="1" x14ac:dyDescent="0.25">
      <c r="A192" s="390"/>
      <c r="B192" s="393"/>
      <c r="C192" s="64"/>
      <c r="D192" s="396"/>
      <c r="E192" s="396"/>
      <c r="F192" s="68" t="str">
        <f>F16</f>
        <v>норматив на 2025 год :</v>
      </c>
      <c r="G192" s="153">
        <v>1</v>
      </c>
      <c r="H192" s="67" t="str">
        <f>H190</f>
        <v>ед. х средняя цена с индексом потребительских цен</v>
      </c>
      <c r="I192" s="153">
        <f>I191*1.0457</f>
        <v>80898.037176007725</v>
      </c>
      <c r="J192" s="67" t="s">
        <v>41</v>
      </c>
      <c r="K192" s="153">
        <f t="shared" si="99"/>
        <v>80898.037176007725</v>
      </c>
      <c r="L192" s="67" t="s">
        <v>41</v>
      </c>
      <c r="M192" s="70">
        <f t="shared" si="101"/>
        <v>80899</v>
      </c>
      <c r="N192" s="71" t="s">
        <v>37</v>
      </c>
      <c r="O192" s="70">
        <f t="shared" si="100"/>
        <v>80900</v>
      </c>
      <c r="P192" s="67" t="s">
        <v>332</v>
      </c>
      <c r="Q192" s="72"/>
      <c r="R192" s="72"/>
      <c r="S192" s="65"/>
      <c r="T192" s="484"/>
      <c r="U192" s="484"/>
      <c r="V192" s="484"/>
      <c r="W192" s="152" t="str">
        <f>""&amp;TEXT(G192,"0,0")&amp;" ед. х "&amp;TEXT(ROUND((K192/G192),2),"0,00")&amp;" руб. = "&amp;TEXT(ROUND((G192*(ROUND((K192/G192),2))),2),"0 000,00")&amp;" руб. = "&amp;TEXT(O192,"0 000,00")&amp;" руб."</f>
        <v>1,0 ед. х 80898,04 руб. = 80 898,04 руб. = 80 900,00 руб.</v>
      </c>
    </row>
    <row r="193" spans="1:23" ht="27.75" customHeight="1" x14ac:dyDescent="0.25">
      <c r="A193" s="481" t="s">
        <v>338</v>
      </c>
      <c r="B193" s="481"/>
      <c r="C193" s="481"/>
      <c r="D193" s="481"/>
      <c r="E193" s="481"/>
      <c r="F193" s="481"/>
      <c r="G193" s="481"/>
      <c r="H193" s="481"/>
      <c r="I193" s="481"/>
      <c r="J193" s="481"/>
      <c r="K193" s="481"/>
      <c r="L193" s="481"/>
      <c r="M193" s="481"/>
      <c r="N193" s="481"/>
      <c r="O193" s="481"/>
      <c r="P193" s="481"/>
      <c r="Q193" s="481"/>
      <c r="R193" s="481"/>
      <c r="S193" s="481"/>
      <c r="T193" s="481"/>
      <c r="U193" s="481"/>
      <c r="V193" s="481"/>
      <c r="W193" s="481"/>
    </row>
    <row r="194" spans="1:23" ht="10.5" customHeight="1" x14ac:dyDescent="0.25">
      <c r="A194" s="101"/>
      <c r="B194" s="256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256"/>
      <c r="U194" s="256"/>
      <c r="V194" s="256"/>
      <c r="W194" s="101"/>
    </row>
    <row r="195" spans="1:23" ht="25.5" customHeight="1" x14ac:dyDescent="0.25">
      <c r="A195" s="102" t="s">
        <v>197</v>
      </c>
      <c r="W195" s="103" t="s">
        <v>196</v>
      </c>
    </row>
    <row r="197" spans="1:23" x14ac:dyDescent="0.25">
      <c r="A197" s="104">
        <v>43987</v>
      </c>
    </row>
  </sheetData>
  <autoFilter ref="D8:R182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304">
    <mergeCell ref="U183:U187"/>
    <mergeCell ref="V183:V187"/>
    <mergeCell ref="A193:W193"/>
    <mergeCell ref="A183:A187"/>
    <mergeCell ref="B183:B187"/>
    <mergeCell ref="D183:D187"/>
    <mergeCell ref="E183:E187"/>
    <mergeCell ref="F183:R183"/>
    <mergeCell ref="T183:T187"/>
    <mergeCell ref="A188:A192"/>
    <mergeCell ref="B188:B192"/>
    <mergeCell ref="D188:D192"/>
    <mergeCell ref="E188:E192"/>
    <mergeCell ref="F188:R188"/>
    <mergeCell ref="T188:T192"/>
    <mergeCell ref="U188:U192"/>
    <mergeCell ref="V188:V192"/>
    <mergeCell ref="A173:A177"/>
    <mergeCell ref="B173:B177"/>
    <mergeCell ref="D173:D177"/>
    <mergeCell ref="E173:E177"/>
    <mergeCell ref="F173:R173"/>
    <mergeCell ref="T173:T177"/>
    <mergeCell ref="U173:U177"/>
    <mergeCell ref="V173:V177"/>
    <mergeCell ref="A178:A182"/>
    <mergeCell ref="B178:B182"/>
    <mergeCell ref="D178:D182"/>
    <mergeCell ref="E178:E182"/>
    <mergeCell ref="F178:R178"/>
    <mergeCell ref="T178:T182"/>
    <mergeCell ref="U178:U182"/>
    <mergeCell ref="V178:V182"/>
    <mergeCell ref="A168:A172"/>
    <mergeCell ref="B168:B172"/>
    <mergeCell ref="D168:D172"/>
    <mergeCell ref="E168:E172"/>
    <mergeCell ref="F168:R168"/>
    <mergeCell ref="A162:A166"/>
    <mergeCell ref="B162:B166"/>
    <mergeCell ref="D162:D166"/>
    <mergeCell ref="E162:E166"/>
    <mergeCell ref="F162:R162"/>
    <mergeCell ref="T162:T166"/>
    <mergeCell ref="U162:U166"/>
    <mergeCell ref="V162:V166"/>
    <mergeCell ref="T168:T172"/>
    <mergeCell ref="U168:U172"/>
    <mergeCell ref="V168:V172"/>
    <mergeCell ref="F167:S167"/>
    <mergeCell ref="A127:A131"/>
    <mergeCell ref="B127:B131"/>
    <mergeCell ref="D127:D131"/>
    <mergeCell ref="E127:E131"/>
    <mergeCell ref="S127:S131"/>
    <mergeCell ref="A132:A136"/>
    <mergeCell ref="B132:B136"/>
    <mergeCell ref="D132:D136"/>
    <mergeCell ref="E132:E136"/>
    <mergeCell ref="F132:R132"/>
    <mergeCell ref="S132:S136"/>
    <mergeCell ref="T132:T136"/>
    <mergeCell ref="U132:U136"/>
    <mergeCell ref="A137:A141"/>
    <mergeCell ref="B137:B141"/>
    <mergeCell ref="D137:D141"/>
    <mergeCell ref="E137:E141"/>
    <mergeCell ref="V123:V126"/>
    <mergeCell ref="F127:R127"/>
    <mergeCell ref="U123:U126"/>
    <mergeCell ref="U103:U106"/>
    <mergeCell ref="V107:V111"/>
    <mergeCell ref="A117:A121"/>
    <mergeCell ref="B117:B121"/>
    <mergeCell ref="D117:D121"/>
    <mergeCell ref="E117:E121"/>
    <mergeCell ref="F117:R117"/>
    <mergeCell ref="T117:T121"/>
    <mergeCell ref="U117:U121"/>
    <mergeCell ref="V117:V121"/>
    <mergeCell ref="A107:A111"/>
    <mergeCell ref="B107:B111"/>
    <mergeCell ref="D107:D111"/>
    <mergeCell ref="E107:E111"/>
    <mergeCell ref="F107:R107"/>
    <mergeCell ref="T107:T111"/>
    <mergeCell ref="U107:U111"/>
    <mergeCell ref="V103:V106"/>
    <mergeCell ref="T127:T131"/>
    <mergeCell ref="U127:U131"/>
    <mergeCell ref="T92:T96"/>
    <mergeCell ref="F122:S122"/>
    <mergeCell ref="A123:A126"/>
    <mergeCell ref="B123:B126"/>
    <mergeCell ref="D123:D126"/>
    <mergeCell ref="E123:E126"/>
    <mergeCell ref="F123:R123"/>
    <mergeCell ref="T123:T126"/>
    <mergeCell ref="A103:A106"/>
    <mergeCell ref="B103:B106"/>
    <mergeCell ref="D103:D106"/>
    <mergeCell ref="E103:E106"/>
    <mergeCell ref="F103:R103"/>
    <mergeCell ref="T103:T106"/>
    <mergeCell ref="A87:A91"/>
    <mergeCell ref="B87:B91"/>
    <mergeCell ref="D87:D91"/>
    <mergeCell ref="E87:E91"/>
    <mergeCell ref="F87:R87"/>
    <mergeCell ref="T87:T91"/>
    <mergeCell ref="U87:U91"/>
    <mergeCell ref="V87:V91"/>
    <mergeCell ref="F102:S102"/>
    <mergeCell ref="U92:U96"/>
    <mergeCell ref="V92:V96"/>
    <mergeCell ref="A97:A101"/>
    <mergeCell ref="B97:B101"/>
    <mergeCell ref="D97:D101"/>
    <mergeCell ref="E97:E101"/>
    <mergeCell ref="F97:R97"/>
    <mergeCell ref="T97:T101"/>
    <mergeCell ref="U97:U101"/>
    <mergeCell ref="V97:V101"/>
    <mergeCell ref="A92:A96"/>
    <mergeCell ref="B92:B96"/>
    <mergeCell ref="D92:D96"/>
    <mergeCell ref="E92:E96"/>
    <mergeCell ref="F92:R92"/>
    <mergeCell ref="F81:R81"/>
    <mergeCell ref="A82:A86"/>
    <mergeCell ref="B82:B86"/>
    <mergeCell ref="D82:D86"/>
    <mergeCell ref="E82:E86"/>
    <mergeCell ref="F82:R82"/>
    <mergeCell ref="T82:T86"/>
    <mergeCell ref="U82:U86"/>
    <mergeCell ref="V82:V86"/>
    <mergeCell ref="A77:A80"/>
    <mergeCell ref="B77:B80"/>
    <mergeCell ref="D77:D80"/>
    <mergeCell ref="E77:E80"/>
    <mergeCell ref="F77:R77"/>
    <mergeCell ref="U70:U74"/>
    <mergeCell ref="V70:V74"/>
    <mergeCell ref="F75:S75"/>
    <mergeCell ref="A70:A74"/>
    <mergeCell ref="B70:B74"/>
    <mergeCell ref="D70:D74"/>
    <mergeCell ref="E70:E74"/>
    <mergeCell ref="F70:R70"/>
    <mergeCell ref="T70:T74"/>
    <mergeCell ref="T77:T80"/>
    <mergeCell ref="U77:U80"/>
    <mergeCell ref="V77:V80"/>
    <mergeCell ref="A65:A69"/>
    <mergeCell ref="B65:B69"/>
    <mergeCell ref="D65:D69"/>
    <mergeCell ref="E65:E69"/>
    <mergeCell ref="F65:R65"/>
    <mergeCell ref="T65:T69"/>
    <mergeCell ref="U65:U69"/>
    <mergeCell ref="V65:V69"/>
    <mergeCell ref="F76:S76"/>
    <mergeCell ref="A59:A63"/>
    <mergeCell ref="B59:B63"/>
    <mergeCell ref="D59:D63"/>
    <mergeCell ref="E59:E63"/>
    <mergeCell ref="F59:R59"/>
    <mergeCell ref="T59:T63"/>
    <mergeCell ref="U59:U63"/>
    <mergeCell ref="V59:V63"/>
    <mergeCell ref="F64:S64"/>
    <mergeCell ref="F53:S53"/>
    <mergeCell ref="A54:A58"/>
    <mergeCell ref="B54:B58"/>
    <mergeCell ref="D54:D58"/>
    <mergeCell ref="E54:E58"/>
    <mergeCell ref="F54:R54"/>
    <mergeCell ref="V43:V47"/>
    <mergeCell ref="A48:A52"/>
    <mergeCell ref="B48:B52"/>
    <mergeCell ref="D48:D52"/>
    <mergeCell ref="E48:E52"/>
    <mergeCell ref="F48:R48"/>
    <mergeCell ref="T48:T52"/>
    <mergeCell ref="U48:U52"/>
    <mergeCell ref="V48:V52"/>
    <mergeCell ref="T54:T58"/>
    <mergeCell ref="U54:U58"/>
    <mergeCell ref="V54:V58"/>
    <mergeCell ref="U37:U41"/>
    <mergeCell ref="V37:V41"/>
    <mergeCell ref="F42:S42"/>
    <mergeCell ref="A43:A47"/>
    <mergeCell ref="B43:B47"/>
    <mergeCell ref="D43:D47"/>
    <mergeCell ref="E43:E47"/>
    <mergeCell ref="F43:R43"/>
    <mergeCell ref="T43:T47"/>
    <mergeCell ref="U43:U47"/>
    <mergeCell ref="A37:A41"/>
    <mergeCell ref="B37:B41"/>
    <mergeCell ref="D37:D41"/>
    <mergeCell ref="E37:E41"/>
    <mergeCell ref="F37:R37"/>
    <mergeCell ref="T37:T41"/>
    <mergeCell ref="U27:U31"/>
    <mergeCell ref="V27:V31"/>
    <mergeCell ref="A32:A36"/>
    <mergeCell ref="B32:B36"/>
    <mergeCell ref="D32:D36"/>
    <mergeCell ref="E32:E36"/>
    <mergeCell ref="F32:R32"/>
    <mergeCell ref="T32:T36"/>
    <mergeCell ref="U32:U36"/>
    <mergeCell ref="V32:V36"/>
    <mergeCell ref="A27:A31"/>
    <mergeCell ref="B27:B31"/>
    <mergeCell ref="D27:D31"/>
    <mergeCell ref="E27:E31"/>
    <mergeCell ref="F27:R27"/>
    <mergeCell ref="T27:T31"/>
    <mergeCell ref="W20:W21"/>
    <mergeCell ref="W22:W23"/>
    <mergeCell ref="F24:S24"/>
    <mergeCell ref="F25:S25"/>
    <mergeCell ref="F26:S26"/>
    <mergeCell ref="U13:U16"/>
    <mergeCell ref="V13:V16"/>
    <mergeCell ref="A17:A23"/>
    <mergeCell ref="B17:B23"/>
    <mergeCell ref="D17:D23"/>
    <mergeCell ref="E17:E23"/>
    <mergeCell ref="F17:R17"/>
    <mergeCell ref="T17:T23"/>
    <mergeCell ref="U17:U23"/>
    <mergeCell ref="V17:V23"/>
    <mergeCell ref="F11:S11"/>
    <mergeCell ref="F12:S12"/>
    <mergeCell ref="A13:A16"/>
    <mergeCell ref="B13:B16"/>
    <mergeCell ref="D13:D16"/>
    <mergeCell ref="E13:E16"/>
    <mergeCell ref="F13:R13"/>
    <mergeCell ref="T13:T16"/>
    <mergeCell ref="W18:W19"/>
    <mergeCell ref="A2:W2"/>
    <mergeCell ref="A3:W3"/>
    <mergeCell ref="A4:W4"/>
    <mergeCell ref="A5:W5"/>
    <mergeCell ref="A6:W6"/>
    <mergeCell ref="A8:A9"/>
    <mergeCell ref="B8:B9"/>
    <mergeCell ref="D8:D9"/>
    <mergeCell ref="E8:E9"/>
    <mergeCell ref="F8:R9"/>
    <mergeCell ref="T8:V8"/>
    <mergeCell ref="W8:W9"/>
    <mergeCell ref="F137:R137"/>
    <mergeCell ref="V132:V136"/>
    <mergeCell ref="A142:A146"/>
    <mergeCell ref="B142:B146"/>
    <mergeCell ref="D142:D146"/>
    <mergeCell ref="E142:E146"/>
    <mergeCell ref="F142:R142"/>
    <mergeCell ref="A147:A151"/>
    <mergeCell ref="B147:B151"/>
    <mergeCell ref="D147:D151"/>
    <mergeCell ref="E147:E151"/>
    <mergeCell ref="F147:R147"/>
    <mergeCell ref="A152:A156"/>
    <mergeCell ref="B152:B156"/>
    <mergeCell ref="D152:D156"/>
    <mergeCell ref="E152:E156"/>
    <mergeCell ref="F152:R152"/>
    <mergeCell ref="A157:A161"/>
    <mergeCell ref="B157:B161"/>
    <mergeCell ref="D157:D161"/>
    <mergeCell ref="E157:E161"/>
    <mergeCell ref="F157:R157"/>
    <mergeCell ref="T152:T156"/>
    <mergeCell ref="U152:U156"/>
    <mergeCell ref="V152:V156"/>
    <mergeCell ref="T157:T161"/>
    <mergeCell ref="U157:U161"/>
    <mergeCell ref="V157:V161"/>
    <mergeCell ref="A112:A116"/>
    <mergeCell ref="B112:B116"/>
    <mergeCell ref="D112:D116"/>
    <mergeCell ref="E112:E116"/>
    <mergeCell ref="F112:R112"/>
    <mergeCell ref="T112:T116"/>
    <mergeCell ref="U112:U116"/>
    <mergeCell ref="V112:V116"/>
    <mergeCell ref="V127:V131"/>
    <mergeCell ref="T137:T141"/>
    <mergeCell ref="U137:U141"/>
    <mergeCell ref="V137:V141"/>
    <mergeCell ref="T142:T146"/>
    <mergeCell ref="U142:U146"/>
    <mergeCell ref="V142:V146"/>
    <mergeCell ref="T147:T151"/>
    <mergeCell ref="U147:U151"/>
    <mergeCell ref="V147:V151"/>
  </mergeCells>
  <pageMargins left="0.55118110236220474" right="0.39370078740157483" top="0.6692913385826772" bottom="0.35433070866141736" header="0.31496062992125984" footer="0.19685039370078741"/>
  <pageSetup paperSize="9" scale="46" fitToHeight="1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X201"/>
  <sheetViews>
    <sheetView view="pageBreakPreview" zoomScale="52" zoomScaleNormal="52" zoomScaleSheetLayoutView="52" workbookViewId="0">
      <pane xSplit="2" ySplit="10" topLeftCell="C148" activePane="bottomRight" state="frozen"/>
      <selection pane="topRight" activeCell="C1" sqref="C1"/>
      <selection pane="bottomLeft" activeCell="A11" sqref="A11"/>
      <selection pane="bottomRight" activeCell="W25" sqref="W25"/>
    </sheetView>
  </sheetViews>
  <sheetFormatPr defaultColWidth="9.140625" defaultRowHeight="15.75" outlineLevelRow="1" outlineLevelCol="1" x14ac:dyDescent="0.25"/>
  <cols>
    <col min="1" max="1" width="9.5703125" style="55" customWidth="1"/>
    <col min="2" max="2" width="60.42578125" style="105" customWidth="1" collapsed="1"/>
    <col min="3" max="3" width="0.28515625" style="55" hidden="1" customWidth="1" outlineLevel="1" collapsed="1"/>
    <col min="4" max="4" width="9" style="55" hidden="1" customWidth="1" outlineLevel="1"/>
    <col min="5" max="5" width="9" style="55" hidden="1" customWidth="1" outlineLevel="1" collapsed="1"/>
    <col min="6" max="6" width="25.140625" style="55" hidden="1" customWidth="1" outlineLevel="1"/>
    <col min="7" max="7" width="13.5703125" style="55" hidden="1" customWidth="1" outlineLevel="1"/>
    <col min="8" max="8" width="43.5703125" style="55" hidden="1" customWidth="1" outlineLevel="1"/>
    <col min="9" max="9" width="17.5703125" style="55" hidden="1" customWidth="1" outlineLevel="1"/>
    <col min="10" max="10" width="27.7109375" style="55" hidden="1" customWidth="1" outlineLevel="1"/>
    <col min="11" max="11" width="18.5703125" style="55" hidden="1" customWidth="1" outlineLevel="1"/>
    <col min="12" max="12" width="19.5703125" style="55" hidden="1" customWidth="1" outlineLevel="1"/>
    <col min="13" max="13" width="14.140625" style="55" hidden="1" customWidth="1" outlineLevel="1"/>
    <col min="14" max="14" width="6.42578125" style="55" hidden="1" customWidth="1" outlineLevel="1"/>
    <col min="15" max="15" width="24.85546875" style="55" hidden="1" customWidth="1" outlineLevel="1"/>
    <col min="16" max="16" width="19.7109375" style="55" hidden="1" customWidth="1" outlineLevel="1"/>
    <col min="17" max="17" width="16.5703125" style="55" hidden="1" customWidth="1" outlineLevel="1"/>
    <col min="18" max="18" width="19.140625" style="55" hidden="1" customWidth="1" outlineLevel="1"/>
    <col min="19" max="21" width="21.140625" style="105" customWidth="1"/>
    <col min="22" max="22" width="0.42578125" style="55" hidden="1" customWidth="1"/>
    <col min="23" max="23" width="150.42578125" style="55" customWidth="1" collapsed="1"/>
    <col min="24" max="24" width="9.85546875" style="55" customWidth="1"/>
    <col min="25" max="25" width="14.140625" style="55" customWidth="1"/>
    <col min="26" max="26" width="15.42578125" style="55" customWidth="1"/>
    <col min="27" max="16384" width="9.140625" style="55"/>
  </cols>
  <sheetData>
    <row r="1" spans="1:23" ht="26.25" customHeight="1" x14ac:dyDescent="0.25">
      <c r="A1" s="59"/>
    </row>
    <row r="2" spans="1:23" s="154" customFormat="1" ht="24" customHeight="1" x14ac:dyDescent="0.25">
      <c r="A2" s="450" t="s">
        <v>0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</row>
    <row r="3" spans="1:23" s="154" customFormat="1" ht="29.25" customHeight="1" x14ac:dyDescent="0.25">
      <c r="A3" s="452" t="s">
        <v>265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</row>
    <row r="4" spans="1:23" s="154" customFormat="1" ht="27.75" customHeight="1" x14ac:dyDescent="0.25">
      <c r="A4" s="452" t="s">
        <v>2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</row>
    <row r="5" spans="1:23" ht="31.5" customHeight="1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</row>
    <row r="6" spans="1:23" s="154" customFormat="1" ht="24" customHeight="1" x14ac:dyDescent="0.25">
      <c r="A6" s="535" t="s">
        <v>266</v>
      </c>
      <c r="B6" s="536"/>
      <c r="C6" s="536"/>
      <c r="D6" s="536"/>
      <c r="E6" s="536"/>
      <c r="F6" s="536"/>
      <c r="G6" s="536"/>
      <c r="H6" s="536"/>
      <c r="I6" s="536"/>
      <c r="J6" s="536"/>
      <c r="K6" s="536"/>
      <c r="L6" s="536"/>
      <c r="M6" s="536"/>
      <c r="N6" s="536"/>
      <c r="O6" s="536"/>
      <c r="P6" s="536"/>
      <c r="Q6" s="536"/>
      <c r="R6" s="536"/>
      <c r="S6" s="536"/>
      <c r="T6" s="536"/>
      <c r="U6" s="536"/>
      <c r="V6" s="536"/>
      <c r="W6" s="536"/>
    </row>
    <row r="7" spans="1:23" ht="22.5" customHeight="1" x14ac:dyDescent="0.25">
      <c r="A7" s="59"/>
    </row>
    <row r="8" spans="1:23" ht="33.75" customHeight="1" x14ac:dyDescent="0.25">
      <c r="A8" s="383" t="s">
        <v>24</v>
      </c>
      <c r="B8" s="537" t="s">
        <v>4</v>
      </c>
      <c r="C8" s="263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537" t="s">
        <v>23</v>
      </c>
      <c r="T8" s="537"/>
      <c r="U8" s="537"/>
      <c r="V8" s="263"/>
      <c r="W8" s="383" t="s">
        <v>120</v>
      </c>
    </row>
    <row r="9" spans="1:23" ht="30.75" customHeight="1" x14ac:dyDescent="0.25">
      <c r="A9" s="383"/>
      <c r="B9" s="537"/>
      <c r="C9" s="263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155" t="s">
        <v>179</v>
      </c>
      <c r="T9" s="155" t="s">
        <v>188</v>
      </c>
      <c r="U9" s="155" t="s">
        <v>224</v>
      </c>
      <c r="V9" s="263"/>
      <c r="W9" s="383"/>
    </row>
    <row r="10" spans="1:23" ht="21.75" customHeight="1" x14ac:dyDescent="0.25">
      <c r="A10" s="263">
        <v>1</v>
      </c>
      <c r="B10" s="268">
        <v>2</v>
      </c>
      <c r="C10" s="263"/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  <c r="P10" s="263"/>
      <c r="Q10" s="263"/>
      <c r="R10" s="263"/>
      <c r="S10" s="268">
        <v>3</v>
      </c>
      <c r="T10" s="268">
        <v>4</v>
      </c>
      <c r="U10" s="268">
        <v>5</v>
      </c>
      <c r="V10" s="263"/>
      <c r="W10" s="61">
        <v>6</v>
      </c>
    </row>
    <row r="11" spans="1:23" ht="31.5" x14ac:dyDescent="0.25">
      <c r="A11" s="62">
        <v>1</v>
      </c>
      <c r="B11" s="115" t="s">
        <v>86</v>
      </c>
      <c r="C11" s="63"/>
      <c r="D11" s="270" t="s">
        <v>35</v>
      </c>
      <c r="E11" s="270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108">
        <f>S12</f>
        <v>1688500</v>
      </c>
      <c r="T11" s="108">
        <f t="shared" ref="T11:U11" si="0">T12</f>
        <v>1758100</v>
      </c>
      <c r="U11" s="108">
        <f t="shared" si="0"/>
        <v>1830200</v>
      </c>
      <c r="V11" s="63"/>
      <c r="W11" s="264" t="str">
        <f>"Нормативные "&amp;TEXT(B11,"0")&amp;" включают в себя:
нормативные "&amp;TEXT(B12,"0")&amp;""</f>
        <v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v>
      </c>
    </row>
    <row r="12" spans="1:23" ht="45" x14ac:dyDescent="0.25">
      <c r="A12" s="156" t="s">
        <v>5</v>
      </c>
      <c r="B12" s="266" t="s">
        <v>92</v>
      </c>
      <c r="C12" s="158"/>
      <c r="D12" s="159" t="s">
        <v>35</v>
      </c>
      <c r="E12" s="159" t="s">
        <v>35</v>
      </c>
      <c r="F12" s="538"/>
      <c r="G12" s="539"/>
      <c r="H12" s="539"/>
      <c r="I12" s="539"/>
      <c r="J12" s="539"/>
      <c r="K12" s="539"/>
      <c r="L12" s="539"/>
      <c r="M12" s="539"/>
      <c r="N12" s="539"/>
      <c r="O12" s="539"/>
      <c r="P12" s="539"/>
      <c r="Q12" s="539"/>
      <c r="R12" s="539"/>
      <c r="S12" s="160">
        <f>SUM(S13,S17)</f>
        <v>1688500</v>
      </c>
      <c r="T12" s="160">
        <f>SUM(T13,T17)</f>
        <v>1758100</v>
      </c>
      <c r="U12" s="160">
        <f>SUM(U13,U17)</f>
        <v>1830200</v>
      </c>
      <c r="V12" s="158"/>
      <c r="W12" s="161" t="str">
        <f>"Нормативные "&amp;TEXT(B12,"0")&amp;" включают в себя:
нормативные "&amp;TEXT(B13,"0")&amp;";
нормативные "&amp;TEXT(B17,"0")&amp;""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13" spans="1:23" ht="75" x14ac:dyDescent="0.25">
      <c r="A13" s="438" t="s">
        <v>6</v>
      </c>
      <c r="B13" s="540" t="s">
        <v>91</v>
      </c>
      <c r="C13" s="162"/>
      <c r="D13" s="542">
        <v>346</v>
      </c>
      <c r="E13" s="542">
        <v>242</v>
      </c>
      <c r="F13" s="544" t="s">
        <v>152</v>
      </c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5">
        <f>M14</f>
        <v>84600</v>
      </c>
      <c r="T13" s="545">
        <f>M15</f>
        <v>88100</v>
      </c>
      <c r="U13" s="545">
        <f>M16</f>
        <v>91700</v>
      </c>
      <c r="V13" s="162"/>
      <c r="W13" s="267" t="s">
        <v>39</v>
      </c>
    </row>
    <row r="14" spans="1:23" ht="15" x14ac:dyDescent="0.25">
      <c r="A14" s="438"/>
      <c r="B14" s="541"/>
      <c r="C14" s="162"/>
      <c r="D14" s="543"/>
      <c r="E14" s="543"/>
      <c r="F14" s="164" t="s">
        <v>151</v>
      </c>
      <c r="G14" s="165">
        <v>1</v>
      </c>
      <c r="H14" s="166" t="s">
        <v>40</v>
      </c>
      <c r="I14" s="165">
        <f>8142421.47*1.04</f>
        <v>8468118.3288000003</v>
      </c>
      <c r="J14" s="166" t="s">
        <v>41</v>
      </c>
      <c r="K14" s="165">
        <f>ROUND((G14%*I14),2)</f>
        <v>84681.18</v>
      </c>
      <c r="L14" s="166" t="s">
        <v>41</v>
      </c>
      <c r="M14" s="167">
        <f>ROUNDDOWN((K14),-2)</f>
        <v>84600</v>
      </c>
      <c r="N14" s="168" t="s">
        <v>37</v>
      </c>
      <c r="O14" s="169"/>
      <c r="P14" s="169"/>
      <c r="Q14" s="169"/>
      <c r="R14" s="169"/>
      <c r="S14" s="545"/>
      <c r="T14" s="545"/>
      <c r="U14" s="545"/>
      <c r="V14" s="162"/>
      <c r="W14" s="267" t="str">
        <f>"норматив "&amp;TEXT(G14,"0,0")&amp;" % х "&amp;TEXT(I14,"0 000,00")&amp;" руб. = "&amp;TEXT(K14,"0 000,00")&amp;" руб. = "&amp;TEXT(M14,"0 000,00")&amp;" руб."</f>
        <v>норматив 1,0 % х 8 468 118,33 руб. = 84 681,18 руб. = 84 600,00 руб.</v>
      </c>
    </row>
    <row r="15" spans="1:23" ht="15" x14ac:dyDescent="0.25">
      <c r="A15" s="438"/>
      <c r="B15" s="541"/>
      <c r="C15" s="162"/>
      <c r="D15" s="543"/>
      <c r="E15" s="543"/>
      <c r="F15" s="164" t="s">
        <v>193</v>
      </c>
      <c r="G15" s="165">
        <v>1</v>
      </c>
      <c r="H15" s="166" t="s">
        <v>40</v>
      </c>
      <c r="I15" s="165">
        <f>I14*1.041</f>
        <v>8815311.180280799</v>
      </c>
      <c r="J15" s="166" t="s">
        <v>41</v>
      </c>
      <c r="K15" s="165">
        <f>ROUND((G15%*I15),2)</f>
        <v>88153.11</v>
      </c>
      <c r="L15" s="166" t="s">
        <v>41</v>
      </c>
      <c r="M15" s="167">
        <f>ROUNDDOWN((K15),-2)</f>
        <v>88100</v>
      </c>
      <c r="N15" s="168" t="s">
        <v>37</v>
      </c>
      <c r="O15" s="169"/>
      <c r="P15" s="169"/>
      <c r="Q15" s="169"/>
      <c r="R15" s="169"/>
      <c r="S15" s="545"/>
      <c r="T15" s="545"/>
      <c r="U15" s="545"/>
      <c r="V15" s="162"/>
      <c r="W15" s="267" t="str">
        <f>"норматив "&amp;TEXT(G15,"0,0")&amp;" % х "&amp;TEXT(I15,"0 000,00")&amp;" руб. = "&amp;TEXT(K15,"0 000,00")&amp;" руб. = "&amp;TEXT(M15,"0 000,00")&amp;" руб."</f>
        <v>норматив 1,0 % х 8 815 311,18 руб. = 88 153,11 руб. = 88 100,00 руб.</v>
      </c>
    </row>
    <row r="16" spans="1:23" ht="15" x14ac:dyDescent="0.25">
      <c r="A16" s="438"/>
      <c r="B16" s="541"/>
      <c r="C16" s="162"/>
      <c r="D16" s="543"/>
      <c r="E16" s="543"/>
      <c r="F16" s="164" t="s">
        <v>226</v>
      </c>
      <c r="G16" s="165">
        <v>1</v>
      </c>
      <c r="H16" s="166" t="s">
        <v>40</v>
      </c>
      <c r="I16" s="165">
        <f>I15*1.041</f>
        <v>9176738.9386723116</v>
      </c>
      <c r="J16" s="166" t="s">
        <v>41</v>
      </c>
      <c r="K16" s="165">
        <f>ROUND((G16%*I16),2)</f>
        <v>91767.39</v>
      </c>
      <c r="L16" s="166" t="s">
        <v>41</v>
      </c>
      <c r="M16" s="167">
        <f>ROUNDDOWN((K16),-2)</f>
        <v>91700</v>
      </c>
      <c r="N16" s="168" t="s">
        <v>37</v>
      </c>
      <c r="O16" s="169"/>
      <c r="P16" s="169"/>
      <c r="Q16" s="169"/>
      <c r="R16" s="169"/>
      <c r="S16" s="545"/>
      <c r="T16" s="545"/>
      <c r="U16" s="545"/>
      <c r="V16" s="162"/>
      <c r="W16" s="267" t="str">
        <f>"норматив "&amp;TEXT(G16,"0,0")&amp;" % х "&amp;TEXT(I16,"0 000,00")&amp;" руб. = "&amp;TEXT(K16,"0 000,00")&amp;" руб. = "&amp;TEXT(M16,"0 000,00")&amp;" руб."</f>
        <v>норматив 1,0 % х 9 176 738,94 руб. = 91 767,39 руб. = 91 700,00 руб.</v>
      </c>
    </row>
    <row r="17" spans="1:23" ht="135" x14ac:dyDescent="0.25">
      <c r="A17" s="438" t="s">
        <v>225</v>
      </c>
      <c r="B17" s="540" t="s">
        <v>123</v>
      </c>
      <c r="C17" s="170"/>
      <c r="D17" s="542">
        <v>346</v>
      </c>
      <c r="E17" s="542">
        <v>242</v>
      </c>
      <c r="F17" s="544" t="s">
        <v>47</v>
      </c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5">
        <f>M19</f>
        <v>1603900</v>
      </c>
      <c r="T17" s="545">
        <f>M21</f>
        <v>1670000</v>
      </c>
      <c r="U17" s="545">
        <f>M23</f>
        <v>1738500</v>
      </c>
      <c r="V17" s="170"/>
      <c r="W17" s="267" t="s">
        <v>46</v>
      </c>
    </row>
    <row r="18" spans="1:23" ht="15" x14ac:dyDescent="0.25">
      <c r="A18" s="438"/>
      <c r="B18" s="541"/>
      <c r="C18" s="170"/>
      <c r="D18" s="543"/>
      <c r="E18" s="543"/>
      <c r="F18" s="164" t="s">
        <v>156</v>
      </c>
      <c r="G18" s="165">
        <v>25101</v>
      </c>
      <c r="H18" s="166" t="s">
        <v>42</v>
      </c>
      <c r="I18" s="165">
        <v>213</v>
      </c>
      <c r="J18" s="166" t="s">
        <v>45</v>
      </c>
      <c r="K18" s="165">
        <v>5</v>
      </c>
      <c r="L18" s="166" t="s">
        <v>43</v>
      </c>
      <c r="M18" s="165">
        <v>0</v>
      </c>
      <c r="N18" s="166" t="s">
        <v>44</v>
      </c>
      <c r="O18" s="165">
        <f>ROUND((G18*(I18/K18+M18)),2)</f>
        <v>1069302.6000000001</v>
      </c>
      <c r="P18" s="166" t="s">
        <v>37</v>
      </c>
      <c r="Q18" s="166"/>
      <c r="R18" s="171"/>
      <c r="S18" s="545"/>
      <c r="T18" s="545"/>
      <c r="U18" s="545"/>
      <c r="V18" s="170"/>
      <c r="W18" s="546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25 101,00 руб. х (213,00 шт.ед. : срок 5 лет + 0,00 шт.ед.) = 1 069 302,60 руб.) = 1 603 953,90 руб. = 1 603 900,00 руб.</v>
      </c>
    </row>
    <row r="19" spans="1:23" ht="15" x14ac:dyDescent="0.25">
      <c r="A19" s="438"/>
      <c r="B19" s="541"/>
      <c r="C19" s="170"/>
      <c r="D19" s="543"/>
      <c r="E19" s="543"/>
      <c r="F19" s="164" t="s">
        <v>227</v>
      </c>
      <c r="G19" s="165">
        <v>150</v>
      </c>
      <c r="H19" s="166" t="s">
        <v>40</v>
      </c>
      <c r="I19" s="165">
        <f>O18</f>
        <v>1069302.6000000001</v>
      </c>
      <c r="J19" s="166" t="s">
        <v>41</v>
      </c>
      <c r="K19" s="165">
        <f>ROUND((G19%*I19),2)</f>
        <v>1603953.9</v>
      </c>
      <c r="L19" s="166" t="s">
        <v>41</v>
      </c>
      <c r="M19" s="167">
        <f>ROUNDDOWN((K19),-2)</f>
        <v>1603900</v>
      </c>
      <c r="N19" s="168" t="s">
        <v>37</v>
      </c>
      <c r="O19" s="169"/>
      <c r="P19" s="169"/>
      <c r="Q19" s="169"/>
      <c r="R19" s="169"/>
      <c r="S19" s="545"/>
      <c r="T19" s="545"/>
      <c r="U19" s="545"/>
      <c r="V19" s="170"/>
      <c r="W19" s="547"/>
    </row>
    <row r="20" spans="1:23" ht="15" x14ac:dyDescent="0.25">
      <c r="A20" s="438"/>
      <c r="B20" s="541"/>
      <c r="C20" s="170"/>
      <c r="D20" s="543"/>
      <c r="E20" s="543"/>
      <c r="F20" s="164" t="s">
        <v>228</v>
      </c>
      <c r="G20" s="165">
        <v>26135</v>
      </c>
      <c r="H20" s="166" t="s">
        <v>42</v>
      </c>
      <c r="I20" s="165">
        <v>213</v>
      </c>
      <c r="J20" s="166" t="s">
        <v>45</v>
      </c>
      <c r="K20" s="165">
        <v>5</v>
      </c>
      <c r="L20" s="166" t="s">
        <v>43</v>
      </c>
      <c r="M20" s="165">
        <v>0</v>
      </c>
      <c r="N20" s="166" t="s">
        <v>44</v>
      </c>
      <c r="O20" s="165">
        <f>ROUND((G20*(I20/K20+M20)),2)</f>
        <v>1113351</v>
      </c>
      <c r="P20" s="166" t="s">
        <v>37</v>
      </c>
      <c r="Q20" s="166"/>
      <c r="R20" s="171"/>
      <c r="S20" s="545"/>
      <c r="T20" s="545"/>
      <c r="U20" s="545"/>
      <c r="V20" s="170"/>
      <c r="W20" s="546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26 135,00 руб. х (213,00 шт.ед. : срок 5 лет + 0,00 шт.ед.) = 1 113 351,00 руб.) = 1 670 026,50 руб. = 1 670 000,00 руб.</v>
      </c>
    </row>
    <row r="21" spans="1:23" ht="15" x14ac:dyDescent="0.25">
      <c r="A21" s="438"/>
      <c r="B21" s="541"/>
      <c r="C21" s="170"/>
      <c r="D21" s="543"/>
      <c r="E21" s="543"/>
      <c r="F21" s="164" t="s">
        <v>193</v>
      </c>
      <c r="G21" s="165">
        <v>150</v>
      </c>
      <c r="H21" s="166" t="s">
        <v>40</v>
      </c>
      <c r="I21" s="165">
        <f>O20</f>
        <v>1113351</v>
      </c>
      <c r="J21" s="166" t="s">
        <v>41</v>
      </c>
      <c r="K21" s="165">
        <f>ROUND((G21%*I21),2)</f>
        <v>1670026.5</v>
      </c>
      <c r="L21" s="166" t="s">
        <v>41</v>
      </c>
      <c r="M21" s="167">
        <f>ROUNDDOWN((K21),-2)</f>
        <v>1670000</v>
      </c>
      <c r="N21" s="168" t="s">
        <v>37</v>
      </c>
      <c r="O21" s="169"/>
      <c r="P21" s="169"/>
      <c r="Q21" s="169"/>
      <c r="R21" s="169"/>
      <c r="S21" s="549"/>
      <c r="T21" s="549"/>
      <c r="U21" s="549"/>
      <c r="V21" s="170"/>
      <c r="W21" s="547"/>
    </row>
    <row r="22" spans="1:23" ht="15" x14ac:dyDescent="0.25">
      <c r="A22" s="438"/>
      <c r="B22" s="541"/>
      <c r="C22" s="170"/>
      <c r="D22" s="543"/>
      <c r="E22" s="543"/>
      <c r="F22" s="164" t="s">
        <v>229</v>
      </c>
      <c r="G22" s="165">
        <v>27207</v>
      </c>
      <c r="H22" s="166" t="s">
        <v>42</v>
      </c>
      <c r="I22" s="165">
        <v>213</v>
      </c>
      <c r="J22" s="166" t="s">
        <v>45</v>
      </c>
      <c r="K22" s="165">
        <v>5</v>
      </c>
      <c r="L22" s="166" t="s">
        <v>43</v>
      </c>
      <c r="M22" s="165">
        <v>0</v>
      </c>
      <c r="N22" s="166" t="s">
        <v>44</v>
      </c>
      <c r="O22" s="165">
        <f>ROUND((G22*(I22/K22+M22)),2)</f>
        <v>1159018.2</v>
      </c>
      <c r="P22" s="166" t="s">
        <v>37</v>
      </c>
      <c r="Q22" s="166"/>
      <c r="R22" s="171"/>
      <c r="S22" s="549"/>
      <c r="T22" s="549"/>
      <c r="U22" s="549"/>
      <c r="V22" s="170"/>
      <c r="W22" s="546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27 207,00 руб. х (213,00 шт.ед. : срок 5 лет + 0,00 шт.ед.) = 1 159 018,20 руб.) = 1 738 527,30 руб. = 1 738 500,00 руб.</v>
      </c>
    </row>
    <row r="23" spans="1:23" x14ac:dyDescent="0.25">
      <c r="A23" s="438"/>
      <c r="B23" s="541"/>
      <c r="C23" s="162"/>
      <c r="D23" s="543"/>
      <c r="E23" s="543"/>
      <c r="F23" s="164" t="s">
        <v>226</v>
      </c>
      <c r="G23" s="165">
        <v>150</v>
      </c>
      <c r="H23" s="166" t="s">
        <v>40</v>
      </c>
      <c r="I23" s="165">
        <f>O22</f>
        <v>1159018.2</v>
      </c>
      <c r="J23" s="166" t="s">
        <v>41</v>
      </c>
      <c r="K23" s="172">
        <f>ROUND((G23%*I23),2)</f>
        <v>1738527.3</v>
      </c>
      <c r="L23" s="166" t="s">
        <v>41</v>
      </c>
      <c r="M23" s="167">
        <f>ROUNDDOWN((K23),-2)</f>
        <v>1738500</v>
      </c>
      <c r="N23" s="168" t="s">
        <v>37</v>
      </c>
      <c r="O23" s="169"/>
      <c r="P23" s="169"/>
      <c r="Q23" s="169"/>
      <c r="R23" s="169"/>
      <c r="S23" s="549"/>
      <c r="T23" s="549"/>
      <c r="U23" s="549"/>
      <c r="V23" s="162"/>
      <c r="W23" s="547"/>
    </row>
    <row r="24" spans="1:23" ht="157.5" customHeight="1" x14ac:dyDescent="0.25">
      <c r="A24" s="173">
        <v>2</v>
      </c>
      <c r="B24" s="174" t="s">
        <v>118</v>
      </c>
      <c r="C24" s="175"/>
      <c r="D24" s="159" t="s">
        <v>35</v>
      </c>
      <c r="E24" s="159" t="s">
        <v>35</v>
      </c>
      <c r="F24" s="548"/>
      <c r="G24" s="539"/>
      <c r="H24" s="539"/>
      <c r="I24" s="539"/>
      <c r="J24" s="539"/>
      <c r="K24" s="539"/>
      <c r="L24" s="539"/>
      <c r="M24" s="539"/>
      <c r="N24" s="539"/>
      <c r="O24" s="539"/>
      <c r="P24" s="539"/>
      <c r="Q24" s="539"/>
      <c r="R24" s="539"/>
      <c r="S24" s="176">
        <f>SUM(S25,S75,S102,S122,S167)</f>
        <v>11403000</v>
      </c>
      <c r="T24" s="176">
        <f>SUM(T25,T75,T102,T122,T167)</f>
        <v>11933200</v>
      </c>
      <c r="U24" s="176">
        <f>SUM(U25,U75,U102,U122,U167)</f>
        <v>12358500</v>
      </c>
      <c r="V24" s="175"/>
      <c r="W24" s="161" t="str">
        <f>"Нормативные "&amp;TEXT(B24,"0")&amp;" включают в себя:
нормативные "&amp;TEXT(B25,"0")&amp;";
нормативные "&amp;TEXT(B75,"0")&amp;";
нормативные "&amp;TEXT(B102,"0")&amp;";
нормативные "&amp;TEXT(B122,"0")&amp;";
нормативные "&amp;TEXT(B167,"0")&amp;""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25" spans="1:23" ht="60" x14ac:dyDescent="0.25">
      <c r="A25" s="177" t="s">
        <v>9</v>
      </c>
      <c r="B25" s="266" t="s">
        <v>117</v>
      </c>
      <c r="C25" s="158"/>
      <c r="D25" s="159" t="s">
        <v>35</v>
      </c>
      <c r="E25" s="159" t="s">
        <v>35</v>
      </c>
      <c r="F25" s="538"/>
      <c r="G25" s="539"/>
      <c r="H25" s="539"/>
      <c r="I25" s="539"/>
      <c r="J25" s="539"/>
      <c r="K25" s="539"/>
      <c r="L25" s="539"/>
      <c r="M25" s="539"/>
      <c r="N25" s="539"/>
      <c r="O25" s="539"/>
      <c r="P25" s="539"/>
      <c r="Q25" s="539"/>
      <c r="R25" s="539"/>
      <c r="S25" s="176">
        <f>SUM(S26,S42,S64)</f>
        <v>331700</v>
      </c>
      <c r="T25" s="176">
        <f>SUM(T26,T42,T64)</f>
        <v>352300</v>
      </c>
      <c r="U25" s="176">
        <f>SUM(U26,U42,U64)</f>
        <v>359600</v>
      </c>
      <c r="V25" s="158"/>
      <c r="W25" s="161" t="str">
        <f>"Нормативные "&amp;TEXT(B25,"0")&amp;" включают в себя:
нормативные "&amp;TEXT(B26,"0")&amp;";   нормативные "&amp;TEXT(B42,"0")&amp;";
нормативные "&amp;TEXT(B64,"0")&amp;""</f>
        <v>Нормативные затраты на содержание имущества включают в себя:
нормативные затраты на техническое обслуживание и ремонт транспортных средств;   нормативные затраты на техническое обслуживание и регламентно-профилактический ремонт иного оборудования;
нормативные иные затраты на техническое обслуживание и содержание имущества</v>
      </c>
    </row>
    <row r="26" spans="1:23" ht="45" x14ac:dyDescent="0.25">
      <c r="A26" s="156" t="s">
        <v>10</v>
      </c>
      <c r="B26" s="178" t="s">
        <v>112</v>
      </c>
      <c r="C26" s="158"/>
      <c r="D26" s="159" t="s">
        <v>35</v>
      </c>
      <c r="E26" s="159" t="s">
        <v>35</v>
      </c>
      <c r="F26" s="538"/>
      <c r="G26" s="539"/>
      <c r="H26" s="539"/>
      <c r="I26" s="539"/>
      <c r="J26" s="539"/>
      <c r="K26" s="539"/>
      <c r="L26" s="539"/>
      <c r="M26" s="539"/>
      <c r="N26" s="539"/>
      <c r="O26" s="539"/>
      <c r="P26" s="539"/>
      <c r="Q26" s="539"/>
      <c r="R26" s="539"/>
      <c r="S26" s="265">
        <f>SUM(S27,S32,S37)</f>
        <v>15400</v>
      </c>
      <c r="T26" s="265">
        <f>SUM(T27,T32,T37)</f>
        <v>16000</v>
      </c>
      <c r="U26" s="265">
        <f>SUM(U27,U32,U37)</f>
        <v>16800</v>
      </c>
      <c r="V26" s="52"/>
      <c r="W26" s="161" t="str">
        <f>"Нормативные "&amp;TEXT(B26,"0")&amp;" включают в себя:
нормативные "&amp;TEXT(B27,"0")&amp;";   нормативные "&amp;TEXT(B32,"0")&amp;";
нормативные "&amp;TEXT(B37,"0")&amp;""</f>
        <v>Нормативные затраты на техническое обслуживание и ремонт транспортных средств включают в себя:
нормативные затраты на плановое техническое обслуживание автомобиля;   нормативные затраты на технический осмотр автомобиля;
нормативные затраты на ремонт автомобиля</v>
      </c>
    </row>
    <row r="27" spans="1:23" ht="105" collapsed="1" x14ac:dyDescent="0.25">
      <c r="A27" s="383" t="s">
        <v>162</v>
      </c>
      <c r="B27" s="558" t="s">
        <v>267</v>
      </c>
      <c r="C27" s="180"/>
      <c r="D27" s="555">
        <v>225</v>
      </c>
      <c r="E27" s="555">
        <v>244</v>
      </c>
      <c r="F27" s="557" t="s">
        <v>268</v>
      </c>
      <c r="G27" s="557"/>
      <c r="H27" s="557"/>
      <c r="I27" s="557"/>
      <c r="J27" s="557"/>
      <c r="K27" s="557"/>
      <c r="L27" s="557"/>
      <c r="M27" s="557"/>
      <c r="N27" s="557"/>
      <c r="O27" s="557"/>
      <c r="P27" s="557"/>
      <c r="Q27" s="557"/>
      <c r="R27" s="557"/>
      <c r="S27" s="550">
        <f>O29</f>
        <v>12000</v>
      </c>
      <c r="T27" s="550">
        <f>O30</f>
        <v>12500</v>
      </c>
      <c r="U27" s="550">
        <f>O31</f>
        <v>13100</v>
      </c>
      <c r="V27" s="64"/>
      <c r="W27" s="161" t="s">
        <v>269</v>
      </c>
    </row>
    <row r="28" spans="1:23" ht="15" hidden="1" outlineLevel="1" x14ac:dyDescent="0.25">
      <c r="A28" s="383"/>
      <c r="B28" s="559"/>
      <c r="C28" s="180"/>
      <c r="D28" s="556"/>
      <c r="E28" s="560"/>
      <c r="F28" s="181"/>
      <c r="G28" s="182">
        <v>1</v>
      </c>
      <c r="H28" s="183" t="s">
        <v>270</v>
      </c>
      <c r="I28" s="182">
        <v>1</v>
      </c>
      <c r="J28" s="183" t="s">
        <v>231</v>
      </c>
      <c r="K28" s="182">
        <f>ROUNDUP((12000),2)</f>
        <v>12000</v>
      </c>
      <c r="L28" s="183" t="s">
        <v>41</v>
      </c>
      <c r="M28" s="182">
        <f>G28*I28*K28</f>
        <v>12000</v>
      </c>
      <c r="N28" s="183" t="s">
        <v>37</v>
      </c>
      <c r="O28" s="184"/>
      <c r="P28" s="185"/>
      <c r="Q28" s="186"/>
      <c r="R28" s="181"/>
      <c r="S28" s="550"/>
      <c r="T28" s="550"/>
      <c r="U28" s="550"/>
      <c r="V28" s="64"/>
      <c r="W28" s="161"/>
    </row>
    <row r="29" spans="1:23" ht="15" x14ac:dyDescent="0.25">
      <c r="A29" s="383"/>
      <c r="B29" s="559"/>
      <c r="C29" s="180"/>
      <c r="D29" s="556"/>
      <c r="E29" s="560"/>
      <c r="F29" s="187" t="s">
        <v>151</v>
      </c>
      <c r="G29" s="182">
        <v>1</v>
      </c>
      <c r="H29" s="188" t="s">
        <v>270</v>
      </c>
      <c r="I29" s="182">
        <v>1</v>
      </c>
      <c r="J29" s="188" t="s">
        <v>271</v>
      </c>
      <c r="K29" s="189">
        <f>ROUNDUP(K28*(1.04-1.04+1),2)</f>
        <v>12000</v>
      </c>
      <c r="L29" s="183" t="s">
        <v>41</v>
      </c>
      <c r="M29" s="182">
        <f>G29*I29*K29</f>
        <v>12000</v>
      </c>
      <c r="N29" s="183" t="s">
        <v>41</v>
      </c>
      <c r="O29" s="190">
        <f>ROUNDUP((M29),-2)</f>
        <v>12000</v>
      </c>
      <c r="P29" s="191" t="s">
        <v>37</v>
      </c>
      <c r="Q29" s="192"/>
      <c r="R29" s="181"/>
      <c r="S29" s="550"/>
      <c r="T29" s="550"/>
      <c r="U29" s="550"/>
      <c r="V29" s="64"/>
      <c r="W29" s="161" t="str">
        <f>""&amp;TEXT(G29,"0,0")&amp;" раз х "&amp;TEXT(I29,"0,0")&amp;" ед. х "&amp;TEXT(ROUND((M29/I29/G29),2),"0,00")&amp;" руб. = "&amp;TEXT(ROUND((G29*I29*(ROUND((M29/I29/G29),2))),2),"0 000,00")&amp;" руб. = "&amp;TEXT(O29,"0 000,00")&amp;" руб."</f>
        <v>1,0 раз х 1,0 ед. х 12000,00 руб. = 12 000,00 руб. = 12 000,00 руб.</v>
      </c>
    </row>
    <row r="30" spans="1:23" ht="15" x14ac:dyDescent="0.25">
      <c r="A30" s="383"/>
      <c r="B30" s="559"/>
      <c r="C30" s="180"/>
      <c r="D30" s="556"/>
      <c r="E30" s="560"/>
      <c r="F30" s="187" t="s">
        <v>193</v>
      </c>
      <c r="G30" s="182">
        <v>1</v>
      </c>
      <c r="H30" s="183" t="str">
        <f>H29</f>
        <v>раз х</v>
      </c>
      <c r="I30" s="182">
        <v>1</v>
      </c>
      <c r="J30" s="183" t="str">
        <f>J29</f>
        <v>ед. х средняя цена с индексом потребительских цен</v>
      </c>
      <c r="K30" s="189">
        <f>ROUNDUP(K29*(1.041),2)</f>
        <v>12492</v>
      </c>
      <c r="L30" s="183" t="s">
        <v>41</v>
      </c>
      <c r="M30" s="182">
        <f>G30*I30*K30</f>
        <v>12492</v>
      </c>
      <c r="N30" s="183" t="s">
        <v>41</v>
      </c>
      <c r="O30" s="190">
        <f>ROUNDUP((M30),-2)</f>
        <v>12500</v>
      </c>
      <c r="P30" s="191" t="s">
        <v>37</v>
      </c>
      <c r="Q30" s="192"/>
      <c r="R30" s="181"/>
      <c r="S30" s="550"/>
      <c r="T30" s="550"/>
      <c r="U30" s="550"/>
      <c r="V30" s="64"/>
      <c r="W30" s="161" t="str">
        <f>""&amp;TEXT(G30,"0,0")&amp;" раз х "&amp;TEXT(I30,"0,0")&amp;" ед. х "&amp;TEXT(ROUND((M30/I30/G30),2),"0,00")&amp;" руб. = "&amp;TEXT(ROUND((G30*I30*(ROUND((M30/I30/G30),2))),2),"0 000,00")&amp;" руб. = "&amp;TEXT(O30,"0 000,00")&amp;" руб."</f>
        <v>1,0 раз х 1,0 ед. х 12492,00 руб. = 12 492,00 руб. = 12 500,00 руб.</v>
      </c>
    </row>
    <row r="31" spans="1:23" ht="15" x14ac:dyDescent="0.25">
      <c r="A31" s="383"/>
      <c r="B31" s="559"/>
      <c r="C31" s="180"/>
      <c r="D31" s="556"/>
      <c r="E31" s="560"/>
      <c r="F31" s="187" t="s">
        <v>226</v>
      </c>
      <c r="G31" s="182">
        <v>1</v>
      </c>
      <c r="H31" s="183" t="str">
        <f>H29</f>
        <v>раз х</v>
      </c>
      <c r="I31" s="182">
        <v>1</v>
      </c>
      <c r="J31" s="183" t="str">
        <f>J29</f>
        <v>ед. х средняя цена с индексом потребительских цен</v>
      </c>
      <c r="K31" s="189">
        <f>ROUNDUP(K30*(1.041),2)</f>
        <v>13004.18</v>
      </c>
      <c r="L31" s="183" t="s">
        <v>41</v>
      </c>
      <c r="M31" s="182">
        <f t="shared" ref="M31" si="1">G31*I31*K31</f>
        <v>13004.18</v>
      </c>
      <c r="N31" s="183" t="s">
        <v>41</v>
      </c>
      <c r="O31" s="190">
        <f>ROUNDUP((M31),-2)</f>
        <v>13100</v>
      </c>
      <c r="P31" s="191" t="s">
        <v>37</v>
      </c>
      <c r="Q31" s="192"/>
      <c r="R31" s="181"/>
      <c r="S31" s="551"/>
      <c r="T31" s="551"/>
      <c r="U31" s="551"/>
      <c r="V31" s="64"/>
      <c r="W31" s="161" t="str">
        <f>""&amp;TEXT(G31,"0,0")&amp;" раз х "&amp;TEXT(I31,"0,0")&amp;" ед. х "&amp;TEXT(ROUND((M31/I31/G31),2),"0,00")&amp;" руб. = "&amp;TEXT(ROUND((G31*I31*(ROUND((M31/I31/G31),2))),2),"0 000,00")&amp;" руб. = "&amp;TEXT(O31,"0 000,00")&amp;" руб."</f>
        <v>1,0 раз х 1,0 ед. х 13004,18 руб. = 13 004,18 руб. = 13 100,00 руб.</v>
      </c>
    </row>
    <row r="32" spans="1:23" ht="105" collapsed="1" x14ac:dyDescent="0.25">
      <c r="A32" s="552" t="s">
        <v>163</v>
      </c>
      <c r="B32" s="553" t="s">
        <v>114</v>
      </c>
      <c r="C32" s="180"/>
      <c r="D32" s="555">
        <v>225</v>
      </c>
      <c r="E32" s="555">
        <v>244</v>
      </c>
      <c r="F32" s="557" t="s">
        <v>237</v>
      </c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0">
        <f>O34</f>
        <v>1300</v>
      </c>
      <c r="T32" s="550">
        <f>O35</f>
        <v>1300</v>
      </c>
      <c r="U32" s="550">
        <f>O36</f>
        <v>1400</v>
      </c>
      <c r="V32" s="64"/>
      <c r="W32" s="161" t="s">
        <v>272</v>
      </c>
    </row>
    <row r="33" spans="1:23" ht="15" hidden="1" outlineLevel="1" x14ac:dyDescent="0.25">
      <c r="A33" s="552"/>
      <c r="B33" s="554"/>
      <c r="C33" s="180"/>
      <c r="D33" s="556"/>
      <c r="E33" s="556"/>
      <c r="F33" s="181"/>
      <c r="G33" s="182">
        <v>1</v>
      </c>
      <c r="H33" s="183" t="s">
        <v>270</v>
      </c>
      <c r="I33" s="182">
        <v>1</v>
      </c>
      <c r="J33" s="183" t="s">
        <v>231</v>
      </c>
      <c r="K33" s="182">
        <f>ROUNDUP((1168.28),2)</f>
        <v>1168.28</v>
      </c>
      <c r="L33" s="183" t="s">
        <v>41</v>
      </c>
      <c r="M33" s="182">
        <f>G33*I33*K33</f>
        <v>1168.28</v>
      </c>
      <c r="N33" s="183" t="s">
        <v>37</v>
      </c>
      <c r="O33" s="184"/>
      <c r="P33" s="185"/>
      <c r="Q33" s="186"/>
      <c r="R33" s="181"/>
      <c r="S33" s="550"/>
      <c r="T33" s="550"/>
      <c r="U33" s="550"/>
      <c r="V33" s="64"/>
      <c r="W33" s="161"/>
    </row>
    <row r="34" spans="1:23" ht="15" x14ac:dyDescent="0.25">
      <c r="A34" s="552"/>
      <c r="B34" s="554"/>
      <c r="C34" s="180"/>
      <c r="D34" s="556"/>
      <c r="E34" s="556"/>
      <c r="F34" s="187" t="s">
        <v>151</v>
      </c>
      <c r="G34" s="182">
        <v>1</v>
      </c>
      <c r="H34" s="188" t="s">
        <v>270</v>
      </c>
      <c r="I34" s="182">
        <v>1</v>
      </c>
      <c r="J34" s="188" t="s">
        <v>271</v>
      </c>
      <c r="K34" s="189">
        <f>ROUNDUP(K33*(1.04),2)</f>
        <v>1215.02</v>
      </c>
      <c r="L34" s="183" t="s">
        <v>41</v>
      </c>
      <c r="M34" s="182">
        <f>G34*I34*K34</f>
        <v>1215.02</v>
      </c>
      <c r="N34" s="183" t="s">
        <v>41</v>
      </c>
      <c r="O34" s="190">
        <f>ROUNDUP((M34),-2)</f>
        <v>1300</v>
      </c>
      <c r="P34" s="191" t="s">
        <v>37</v>
      </c>
      <c r="Q34" s="192"/>
      <c r="R34" s="181"/>
      <c r="S34" s="550"/>
      <c r="T34" s="550"/>
      <c r="U34" s="550"/>
      <c r="V34" s="64"/>
      <c r="W34" s="161" t="str">
        <f>""&amp;TEXT(G34,"0,0")&amp;" раз х "&amp;TEXT(I34,"0,0")&amp;" ед. х "&amp;TEXT(ROUND((M34/I34/G34),2),"0,00")&amp;" руб. = "&amp;TEXT(ROUND((G34*I34*(ROUND((M34/I34/G34),2))),2),"0 000,00")&amp;" руб. = "&amp;TEXT(O34,"0 000,00")&amp;" руб."</f>
        <v>1,0 раз х 1,0 ед. х 1215,02 руб. = 1 215,02 руб. = 1 300,00 руб.</v>
      </c>
    </row>
    <row r="35" spans="1:23" ht="15" x14ac:dyDescent="0.25">
      <c r="A35" s="552"/>
      <c r="B35" s="554"/>
      <c r="C35" s="180"/>
      <c r="D35" s="556"/>
      <c r="E35" s="556"/>
      <c r="F35" s="187" t="s">
        <v>193</v>
      </c>
      <c r="G35" s="182">
        <v>1</v>
      </c>
      <c r="H35" s="183" t="str">
        <f>H34</f>
        <v>раз х</v>
      </c>
      <c r="I35" s="182">
        <v>1</v>
      </c>
      <c r="J35" s="183" t="str">
        <f>J34</f>
        <v>ед. х средняя цена с индексом потребительских цен</v>
      </c>
      <c r="K35" s="189">
        <f>ROUNDUP(K34*(1.041),2)</f>
        <v>1264.8399999999999</v>
      </c>
      <c r="L35" s="183" t="s">
        <v>41</v>
      </c>
      <c r="M35" s="182">
        <f>G35*I35*K35</f>
        <v>1264.8399999999999</v>
      </c>
      <c r="N35" s="183" t="s">
        <v>41</v>
      </c>
      <c r="O35" s="190">
        <f>ROUNDUP((M35),-2)</f>
        <v>1300</v>
      </c>
      <c r="P35" s="191" t="s">
        <v>37</v>
      </c>
      <c r="Q35" s="192"/>
      <c r="R35" s="181"/>
      <c r="S35" s="550"/>
      <c r="T35" s="550"/>
      <c r="U35" s="550"/>
      <c r="V35" s="64"/>
      <c r="W35" s="161" t="str">
        <f>""&amp;TEXT(G35,"0,0")&amp;" раз х "&amp;TEXT(I35,"0,0")&amp;" ед. х "&amp;TEXT(ROUND((M35/I35/G35),2),"0,00")&amp;" руб. = "&amp;TEXT(ROUND((G35*I35*(ROUND((M35/I35/G35),2))),2),"0 000,00")&amp;" руб. = "&amp;TEXT(O35,"0 000,00")&amp;" руб."</f>
        <v>1,0 раз х 1,0 ед. х 1264,84 руб. = 1 264,84 руб. = 1 300,00 руб.</v>
      </c>
    </row>
    <row r="36" spans="1:23" ht="15" x14ac:dyDescent="0.25">
      <c r="A36" s="552"/>
      <c r="B36" s="554"/>
      <c r="C36" s="180"/>
      <c r="D36" s="556"/>
      <c r="E36" s="556"/>
      <c r="F36" s="187" t="s">
        <v>226</v>
      </c>
      <c r="G36" s="182">
        <v>1</v>
      </c>
      <c r="H36" s="183" t="str">
        <f>H34</f>
        <v>раз х</v>
      </c>
      <c r="I36" s="182">
        <v>1</v>
      </c>
      <c r="J36" s="183" t="str">
        <f>J34</f>
        <v>ед. х средняя цена с индексом потребительских цен</v>
      </c>
      <c r="K36" s="189">
        <f>ROUNDUP(K35*(1.041),2)</f>
        <v>1316.7</v>
      </c>
      <c r="L36" s="183" t="s">
        <v>41</v>
      </c>
      <c r="M36" s="182">
        <f t="shared" ref="M36" si="2">G36*I36*K36</f>
        <v>1316.7</v>
      </c>
      <c r="N36" s="183" t="s">
        <v>41</v>
      </c>
      <c r="O36" s="190">
        <f>ROUNDUP((M36),-2)</f>
        <v>1400</v>
      </c>
      <c r="P36" s="191" t="s">
        <v>37</v>
      </c>
      <c r="Q36" s="192"/>
      <c r="R36" s="181"/>
      <c r="S36" s="551"/>
      <c r="T36" s="551"/>
      <c r="U36" s="551"/>
      <c r="V36" s="64"/>
      <c r="W36" s="161" t="str">
        <f>""&amp;TEXT(G36,"0,0")&amp;" раз х "&amp;TEXT(I36,"0,0")&amp;" ед. х "&amp;TEXT(ROUND((M36/I36/G36),2),"0,00")&amp;" руб. = "&amp;TEXT(ROUND((G36*I36*(ROUND((M36/I36/G36),2))),2),"0 000,00")&amp;" руб. = "&amp;TEXT(O36,"0 000,00")&amp;" руб."</f>
        <v>1,0 раз х 1,0 ед. х 1316,70 руб. = 1 316,70 руб. = 1 400,00 руб.</v>
      </c>
    </row>
    <row r="37" spans="1:23" ht="105" collapsed="1" x14ac:dyDescent="0.25">
      <c r="A37" s="552" t="s">
        <v>201</v>
      </c>
      <c r="B37" s="553" t="s">
        <v>202</v>
      </c>
      <c r="C37" s="180"/>
      <c r="D37" s="555">
        <v>225</v>
      </c>
      <c r="E37" s="555">
        <v>244</v>
      </c>
      <c r="F37" s="557" t="s">
        <v>237</v>
      </c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550">
        <f>O39</f>
        <v>2100</v>
      </c>
      <c r="T37" s="550">
        <f>O40</f>
        <v>2200</v>
      </c>
      <c r="U37" s="550">
        <f>O41</f>
        <v>2300</v>
      </c>
      <c r="V37" s="64"/>
      <c r="W37" s="161" t="s">
        <v>273</v>
      </c>
    </row>
    <row r="38" spans="1:23" ht="15" hidden="1" outlineLevel="1" x14ac:dyDescent="0.25">
      <c r="A38" s="552"/>
      <c r="B38" s="554"/>
      <c r="C38" s="180"/>
      <c r="D38" s="556"/>
      <c r="E38" s="556"/>
      <c r="F38" s="181"/>
      <c r="G38" s="182">
        <v>1</v>
      </c>
      <c r="H38" s="183" t="s">
        <v>270</v>
      </c>
      <c r="I38" s="182">
        <v>1</v>
      </c>
      <c r="J38" s="183" t="s">
        <v>231</v>
      </c>
      <c r="K38" s="182">
        <f>ROUNDUP((1966.67),2)</f>
        <v>1966.67</v>
      </c>
      <c r="L38" s="183" t="s">
        <v>41</v>
      </c>
      <c r="M38" s="182">
        <f>G38*I38*K38</f>
        <v>1966.67</v>
      </c>
      <c r="N38" s="183" t="s">
        <v>37</v>
      </c>
      <c r="O38" s="184"/>
      <c r="P38" s="185"/>
      <c r="Q38" s="186"/>
      <c r="R38" s="181"/>
      <c r="S38" s="550"/>
      <c r="T38" s="550"/>
      <c r="U38" s="550"/>
      <c r="V38" s="64"/>
      <c r="W38" s="161"/>
    </row>
    <row r="39" spans="1:23" ht="15" x14ac:dyDescent="0.25">
      <c r="A39" s="552"/>
      <c r="B39" s="554"/>
      <c r="C39" s="180"/>
      <c r="D39" s="556"/>
      <c r="E39" s="556"/>
      <c r="F39" s="187" t="s">
        <v>151</v>
      </c>
      <c r="G39" s="182">
        <v>1</v>
      </c>
      <c r="H39" s="188" t="s">
        <v>270</v>
      </c>
      <c r="I39" s="182">
        <v>1</v>
      </c>
      <c r="J39" s="188" t="s">
        <v>271</v>
      </c>
      <c r="K39" s="189">
        <f>ROUNDUP(K38*(1.04),2)</f>
        <v>2045.34</v>
      </c>
      <c r="L39" s="183" t="s">
        <v>41</v>
      </c>
      <c r="M39" s="182">
        <f>G39*I39*K39</f>
        <v>2045.34</v>
      </c>
      <c r="N39" s="183" t="s">
        <v>41</v>
      </c>
      <c r="O39" s="190">
        <f>ROUNDUP((M39),-2)</f>
        <v>2100</v>
      </c>
      <c r="P39" s="191" t="s">
        <v>37</v>
      </c>
      <c r="Q39" s="192"/>
      <c r="R39" s="181"/>
      <c r="S39" s="550"/>
      <c r="T39" s="550"/>
      <c r="U39" s="550"/>
      <c r="V39" s="64"/>
      <c r="W39" s="161" t="str">
        <f>""&amp;TEXT(G39,"0,0")&amp;" раз х "&amp;TEXT(I39,"0,0")&amp;" ед. х "&amp;TEXT(ROUND((M39/I39/G39),2),"0,00")&amp;" руб. = "&amp;TEXT(ROUND((G39*I39*(ROUND((M39/I39/G39),2))),2),"0 000,00")&amp;" руб. = "&amp;TEXT(O39,"0 000,00")&amp;" руб."</f>
        <v>1,0 раз х 1,0 ед. х 2045,34 руб. = 2 045,34 руб. = 2 100,00 руб.</v>
      </c>
    </row>
    <row r="40" spans="1:23" ht="15" x14ac:dyDescent="0.25">
      <c r="A40" s="552"/>
      <c r="B40" s="554"/>
      <c r="C40" s="180"/>
      <c r="D40" s="556"/>
      <c r="E40" s="556"/>
      <c r="F40" s="187" t="s">
        <v>193</v>
      </c>
      <c r="G40" s="182">
        <v>1</v>
      </c>
      <c r="H40" s="183" t="str">
        <f>H39</f>
        <v>раз х</v>
      </c>
      <c r="I40" s="182">
        <v>1</v>
      </c>
      <c r="J40" s="183" t="str">
        <f>J39</f>
        <v>ед. х средняя цена с индексом потребительских цен</v>
      </c>
      <c r="K40" s="189">
        <f>ROUNDUP(K39*(1.041),2)</f>
        <v>2129.2000000000003</v>
      </c>
      <c r="L40" s="183" t="s">
        <v>41</v>
      </c>
      <c r="M40" s="182">
        <f>G40*I40*K40</f>
        <v>2129.2000000000003</v>
      </c>
      <c r="N40" s="183" t="s">
        <v>41</v>
      </c>
      <c r="O40" s="190">
        <f>ROUNDUP((M40),-2)</f>
        <v>2200</v>
      </c>
      <c r="P40" s="191" t="s">
        <v>37</v>
      </c>
      <c r="Q40" s="192"/>
      <c r="R40" s="181"/>
      <c r="S40" s="550"/>
      <c r="T40" s="550"/>
      <c r="U40" s="550"/>
      <c r="V40" s="64"/>
      <c r="W40" s="161" t="str">
        <f>""&amp;TEXT(G40,"0,0")&amp;" раз х "&amp;TEXT(I40,"0,0")&amp;" ед. х "&amp;TEXT(ROUND((M40/I40/G40),2),"0,00")&amp;" руб. = "&amp;TEXT(ROUND((G40*I40*(ROUND((M40/I40/G40),2))),2),"0 000,00")&amp;" руб. = "&amp;TEXT(O40,"0 000,00")&amp;" руб."</f>
        <v>1,0 раз х 1,0 ед. х 2129,20 руб. = 2 129,20 руб. = 2 200,00 руб.</v>
      </c>
    </row>
    <row r="41" spans="1:23" ht="15" x14ac:dyDescent="0.25">
      <c r="A41" s="552"/>
      <c r="B41" s="554"/>
      <c r="C41" s="180"/>
      <c r="D41" s="556"/>
      <c r="E41" s="556"/>
      <c r="F41" s="187" t="s">
        <v>226</v>
      </c>
      <c r="G41" s="182">
        <v>1</v>
      </c>
      <c r="H41" s="183" t="str">
        <f>H39</f>
        <v>раз х</v>
      </c>
      <c r="I41" s="182">
        <v>1</v>
      </c>
      <c r="J41" s="183" t="str">
        <f>J39</f>
        <v>ед. х средняя цена с индексом потребительских цен</v>
      </c>
      <c r="K41" s="189">
        <f>ROUNDUP(K40*(1.041),2)</f>
        <v>2216.5</v>
      </c>
      <c r="L41" s="183" t="s">
        <v>41</v>
      </c>
      <c r="M41" s="182">
        <f t="shared" ref="M41" si="3">G41*I41*K41</f>
        <v>2216.5</v>
      </c>
      <c r="N41" s="183" t="s">
        <v>41</v>
      </c>
      <c r="O41" s="190">
        <f>ROUNDUP((M41),-2)</f>
        <v>2300</v>
      </c>
      <c r="P41" s="191" t="s">
        <v>37</v>
      </c>
      <c r="Q41" s="192"/>
      <c r="R41" s="181"/>
      <c r="S41" s="551"/>
      <c r="T41" s="551"/>
      <c r="U41" s="551"/>
      <c r="V41" s="64"/>
      <c r="W41" s="161" t="str">
        <f>""&amp;TEXT(G41,"0,0")&amp;" раз х "&amp;TEXT(I41,"0,0")&amp;" ед. х "&amp;TEXT(ROUND((M41/I41/G41),2),"0,00")&amp;" руб. = "&amp;TEXT(ROUND((G41*I41*(ROUND((M41/I41/G41),2))),2),"0 000,00")&amp;" руб. = "&amp;TEXT(O41,"0 000,00")&amp;" руб."</f>
        <v>1,0 раз х 1,0 ед. х 2216,50 руб. = 2 216,50 руб. = 2 300,00 руб.</v>
      </c>
    </row>
    <row r="42" spans="1:23" ht="91.5" customHeight="1" x14ac:dyDescent="0.25">
      <c r="A42" s="156" t="s">
        <v>11</v>
      </c>
      <c r="B42" s="178" t="s">
        <v>115</v>
      </c>
      <c r="C42" s="158"/>
      <c r="D42" s="159" t="s">
        <v>35</v>
      </c>
      <c r="E42" s="159" t="s">
        <v>35</v>
      </c>
      <c r="F42" s="538"/>
      <c r="G42" s="539"/>
      <c r="H42" s="539"/>
      <c r="I42" s="539"/>
      <c r="J42" s="539"/>
      <c r="K42" s="539"/>
      <c r="L42" s="539"/>
      <c r="M42" s="539"/>
      <c r="N42" s="539"/>
      <c r="O42" s="539"/>
      <c r="P42" s="539"/>
      <c r="Q42" s="539"/>
      <c r="R42" s="539"/>
      <c r="S42" s="160">
        <f>SUM(S43,S48,S53,S59)</f>
        <v>253400</v>
      </c>
      <c r="T42" s="160">
        <f>SUM(T43,T48,T53,T59)</f>
        <v>263800</v>
      </c>
      <c r="U42" s="160">
        <f>SUM(U43,U48,U53,U59)</f>
        <v>274600</v>
      </c>
      <c r="V42" s="158"/>
      <c r="W42" s="161" t="str">
        <f>"Нормативные "&amp;TEXT(B42,"0")&amp;" включают в себя:
нормативные "&amp;TEXT(B43,"0")&amp;";   нормативные "&amp;TEXT(B48,"0")&amp;";
нормативные "&amp;TEXT(B53,"0")&amp;";   нормативные "&amp;TEXT(B59,"0")&amp;""</f>
        <v>Нормативные затраты на техническое обслуживание и регламентно-профилактический ремонт иного оборудования включают в себя:
нормативные затраты по  техническому обслуживанию систем кондиционирования;   нормативные затраты по ремонту систем кондиционирования;
нормативные затраты по техническому обслуживанию и регламентно-профилактический ремонту комплексных систем обеспечения безопасности;   нормативные затраты по техническому обслуживанию счетчика банкнот</v>
      </c>
    </row>
    <row r="43" spans="1:23" s="75" customFormat="1" ht="113.25" customHeight="1" x14ac:dyDescent="0.25">
      <c r="A43" s="383" t="s">
        <v>127</v>
      </c>
      <c r="B43" s="553" t="s">
        <v>233</v>
      </c>
      <c r="C43" s="193"/>
      <c r="D43" s="555">
        <v>225</v>
      </c>
      <c r="E43" s="555">
        <v>244</v>
      </c>
      <c r="F43" s="557" t="s">
        <v>268</v>
      </c>
      <c r="G43" s="557"/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  <c r="S43" s="550">
        <f>O45</f>
        <v>201100</v>
      </c>
      <c r="T43" s="550">
        <f>O46</f>
        <v>209400</v>
      </c>
      <c r="U43" s="550">
        <f>O47</f>
        <v>217900</v>
      </c>
      <c r="V43" s="56"/>
      <c r="W43" s="161" t="s">
        <v>274</v>
      </c>
    </row>
    <row r="44" spans="1:23" ht="20.25" customHeight="1" outlineLevel="1" x14ac:dyDescent="0.25">
      <c r="A44" s="383"/>
      <c r="B44" s="554"/>
      <c r="C44" s="180"/>
      <c r="D44" s="556"/>
      <c r="E44" s="560"/>
      <c r="F44" s="181"/>
      <c r="G44" s="182">
        <v>1</v>
      </c>
      <c r="H44" s="183" t="s">
        <v>270</v>
      </c>
      <c r="I44" s="182">
        <v>29</v>
      </c>
      <c r="J44" s="183" t="s">
        <v>231</v>
      </c>
      <c r="K44" s="182">
        <f>ROUNDUP((201066.57/I44),2)</f>
        <v>6933.33</v>
      </c>
      <c r="L44" s="183" t="s">
        <v>41</v>
      </c>
      <c r="M44" s="182">
        <f>G44*I44*K44</f>
        <v>201066.57</v>
      </c>
      <c r="N44" s="183" t="s">
        <v>37</v>
      </c>
      <c r="O44" s="184"/>
      <c r="P44" s="185"/>
      <c r="Q44" s="186"/>
      <c r="R44" s="181"/>
      <c r="S44" s="550"/>
      <c r="T44" s="550"/>
      <c r="U44" s="550"/>
      <c r="V44" s="64"/>
      <c r="W44" s="161"/>
    </row>
    <row r="45" spans="1:23" ht="15" x14ac:dyDescent="0.25">
      <c r="A45" s="383"/>
      <c r="B45" s="554"/>
      <c r="C45" s="180"/>
      <c r="D45" s="556"/>
      <c r="E45" s="560"/>
      <c r="F45" s="187" t="s">
        <v>151</v>
      </c>
      <c r="G45" s="182">
        <v>1</v>
      </c>
      <c r="H45" s="188" t="s">
        <v>270</v>
      </c>
      <c r="I45" s="182">
        <v>29</v>
      </c>
      <c r="J45" s="188" t="s">
        <v>271</v>
      </c>
      <c r="K45" s="189">
        <f>ROUNDUP(K44*(1.04-1.04+1),2)</f>
        <v>6933.33</v>
      </c>
      <c r="L45" s="183" t="s">
        <v>41</v>
      </c>
      <c r="M45" s="182">
        <f>G45*I45*K45</f>
        <v>201066.57</v>
      </c>
      <c r="N45" s="183" t="s">
        <v>41</v>
      </c>
      <c r="O45" s="190">
        <f>ROUNDUP((M45),-2)</f>
        <v>201100</v>
      </c>
      <c r="P45" s="191" t="s">
        <v>37</v>
      </c>
      <c r="Q45" s="192"/>
      <c r="R45" s="181"/>
      <c r="S45" s="550"/>
      <c r="T45" s="550"/>
      <c r="U45" s="550"/>
      <c r="V45" s="64"/>
      <c r="W45" s="161" t="str">
        <f>""&amp;TEXT(G45,"0,0")&amp;" раз х "&amp;TEXT(I45,"0,0")&amp;" ед. х "&amp;TEXT(ROUND((M45/I45/G45),2),"0,00")&amp;" руб. = "&amp;TEXT(ROUND((G45*I45*(ROUND((M45/I45/G45),2))),2),"0 000,00")&amp;" руб. = "&amp;TEXT(O45,"0 000,00")&amp;" руб."</f>
        <v>1,0 раз х 29,0 ед. х 6933,33 руб. = 201 066,57 руб. = 201 100,00 руб.</v>
      </c>
    </row>
    <row r="46" spans="1:23" ht="15" x14ac:dyDescent="0.25">
      <c r="A46" s="383"/>
      <c r="B46" s="554"/>
      <c r="C46" s="180"/>
      <c r="D46" s="556"/>
      <c r="E46" s="560"/>
      <c r="F46" s="187" t="s">
        <v>193</v>
      </c>
      <c r="G46" s="182">
        <v>1</v>
      </c>
      <c r="H46" s="183" t="str">
        <f>H45</f>
        <v>раз х</v>
      </c>
      <c r="I46" s="182">
        <v>29</v>
      </c>
      <c r="J46" s="183" t="str">
        <f>J45</f>
        <v>ед. х средняя цена с индексом потребительских цен</v>
      </c>
      <c r="K46" s="189">
        <f>ROUNDUP(K45*(1.041),2)</f>
        <v>7217.6</v>
      </c>
      <c r="L46" s="183" t="s">
        <v>41</v>
      </c>
      <c r="M46" s="182">
        <f>G46*I46*K46</f>
        <v>209310.40000000002</v>
      </c>
      <c r="N46" s="183" t="s">
        <v>41</v>
      </c>
      <c r="O46" s="190">
        <f>ROUNDUP((M46),-2)</f>
        <v>209400</v>
      </c>
      <c r="P46" s="191" t="s">
        <v>37</v>
      </c>
      <c r="Q46" s="192"/>
      <c r="R46" s="181"/>
      <c r="S46" s="550"/>
      <c r="T46" s="550"/>
      <c r="U46" s="550"/>
      <c r="V46" s="64"/>
      <c r="W46" s="161" t="str">
        <f>""&amp;TEXT(G46,"0,0")&amp;" раз х "&amp;TEXT(I46,"0,0")&amp;" ед. х "&amp;TEXT(ROUND((M46/I46/G46),2),"0,00")&amp;" руб. = "&amp;TEXT(ROUND((G46*I46*(ROUND((M46/I46/G46),2))),2),"0 000,00")&amp;" руб. = "&amp;TEXT(O46,"0 000,00")&amp;" руб."</f>
        <v>1,0 раз х 29,0 ед. х 7217,60 руб. = 209 310,40 руб. = 209 400,00 руб.</v>
      </c>
    </row>
    <row r="47" spans="1:23" ht="15" x14ac:dyDescent="0.25">
      <c r="A47" s="383"/>
      <c r="B47" s="554"/>
      <c r="C47" s="180"/>
      <c r="D47" s="556"/>
      <c r="E47" s="560"/>
      <c r="F47" s="187" t="s">
        <v>226</v>
      </c>
      <c r="G47" s="182">
        <v>1</v>
      </c>
      <c r="H47" s="183" t="str">
        <f>H45</f>
        <v>раз х</v>
      </c>
      <c r="I47" s="182">
        <v>29</v>
      </c>
      <c r="J47" s="183" t="str">
        <f>J45</f>
        <v>ед. х средняя цена с индексом потребительских цен</v>
      </c>
      <c r="K47" s="189">
        <f>ROUNDUP(K46*(1.041),2)</f>
        <v>7513.5300000000007</v>
      </c>
      <c r="L47" s="183" t="s">
        <v>41</v>
      </c>
      <c r="M47" s="182">
        <f t="shared" ref="M47" si="4">G47*I47*K47</f>
        <v>217892.37000000002</v>
      </c>
      <c r="N47" s="183" t="s">
        <v>41</v>
      </c>
      <c r="O47" s="190">
        <f>ROUNDUP((M47),-2)</f>
        <v>217900</v>
      </c>
      <c r="P47" s="191" t="s">
        <v>37</v>
      </c>
      <c r="Q47" s="192"/>
      <c r="R47" s="181"/>
      <c r="S47" s="551"/>
      <c r="T47" s="551"/>
      <c r="U47" s="551"/>
      <c r="V47" s="64"/>
      <c r="W47" s="161" t="str">
        <f>""&amp;TEXT(G47,"0,0")&amp;" раз х "&amp;TEXT(I47,"0,0")&amp;" ед. х "&amp;TEXT(ROUND((M47/I47/G47),2),"0,00")&amp;" руб. = "&amp;TEXT(ROUND((G47*I47*(ROUND((M47/I47/G47),2))),2),"0 000,00")&amp;" руб. = "&amp;TEXT(O47,"0 000,00")&amp;" руб."</f>
        <v>1,0 раз х 29,0 ед. х 7513,53 руб. = 217 892,37 руб. = 217 900,00 руб.</v>
      </c>
    </row>
    <row r="48" spans="1:23" s="75" customFormat="1" ht="119.25" customHeight="1" collapsed="1" x14ac:dyDescent="0.25">
      <c r="A48" s="383" t="s">
        <v>128</v>
      </c>
      <c r="B48" s="553" t="s">
        <v>217</v>
      </c>
      <c r="C48" s="193"/>
      <c r="D48" s="555">
        <v>225</v>
      </c>
      <c r="E48" s="555">
        <v>244</v>
      </c>
      <c r="F48" s="557" t="s">
        <v>268</v>
      </c>
      <c r="G48" s="557"/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  <c r="S48" s="550">
        <f>O50</f>
        <v>11200</v>
      </c>
      <c r="T48" s="550">
        <f>O51</f>
        <v>11700</v>
      </c>
      <c r="U48" s="550">
        <f>O52</f>
        <v>12200</v>
      </c>
      <c r="V48" s="193"/>
      <c r="W48" s="161" t="s">
        <v>275</v>
      </c>
    </row>
    <row r="49" spans="1:24" ht="15" hidden="1" outlineLevel="1" x14ac:dyDescent="0.25">
      <c r="A49" s="383"/>
      <c r="B49" s="554"/>
      <c r="C49" s="180"/>
      <c r="D49" s="556"/>
      <c r="E49" s="560"/>
      <c r="F49" s="181"/>
      <c r="G49" s="182">
        <v>1</v>
      </c>
      <c r="H49" s="183" t="s">
        <v>270</v>
      </c>
      <c r="I49" s="182">
        <v>1</v>
      </c>
      <c r="J49" s="183" t="s">
        <v>231</v>
      </c>
      <c r="K49" s="182">
        <f>ROUNDUP((11200),2)</f>
        <v>11200</v>
      </c>
      <c r="L49" s="183" t="s">
        <v>41</v>
      </c>
      <c r="M49" s="182">
        <f>G49*I49*K49</f>
        <v>11200</v>
      </c>
      <c r="N49" s="183" t="s">
        <v>37</v>
      </c>
      <c r="O49" s="184"/>
      <c r="P49" s="185"/>
      <c r="Q49" s="186"/>
      <c r="R49" s="181"/>
      <c r="S49" s="550"/>
      <c r="T49" s="550"/>
      <c r="U49" s="550"/>
      <c r="V49" s="180"/>
      <c r="W49" s="161"/>
    </row>
    <row r="50" spans="1:24" ht="15" x14ac:dyDescent="0.25">
      <c r="A50" s="383"/>
      <c r="B50" s="554"/>
      <c r="C50" s="180"/>
      <c r="D50" s="556"/>
      <c r="E50" s="560"/>
      <c r="F50" s="187" t="s">
        <v>151</v>
      </c>
      <c r="G50" s="182">
        <v>1</v>
      </c>
      <c r="H50" s="188" t="s">
        <v>270</v>
      </c>
      <c r="I50" s="182">
        <v>1</v>
      </c>
      <c r="J50" s="188" t="s">
        <v>271</v>
      </c>
      <c r="K50" s="189">
        <f>ROUNDUP(K49*(1.04-1.04+1),2)</f>
        <v>11200</v>
      </c>
      <c r="L50" s="183" t="s">
        <v>41</v>
      </c>
      <c r="M50" s="182">
        <f>G50*I50*K50</f>
        <v>11200</v>
      </c>
      <c r="N50" s="183" t="s">
        <v>41</v>
      </c>
      <c r="O50" s="190">
        <f>ROUNDUP((M50),-2)</f>
        <v>11200</v>
      </c>
      <c r="P50" s="191" t="s">
        <v>37</v>
      </c>
      <c r="Q50" s="192"/>
      <c r="R50" s="181"/>
      <c r="S50" s="550"/>
      <c r="T50" s="550"/>
      <c r="U50" s="550"/>
      <c r="V50" s="180"/>
      <c r="W50" s="161" t="str">
        <f>""&amp;TEXT(G50,"0,0")&amp;" раз х "&amp;TEXT(I50,"0,0")&amp;" ед. х "&amp;TEXT(ROUND((M50/I50/G50),2),"0,00")&amp;" руб. = "&amp;TEXT(ROUND((G50*I50*(ROUND((M50/I50/G50),2))),2),"0 000,00")&amp;" руб. = "&amp;TEXT(O50,"0 000,00")&amp;" руб."</f>
        <v>1,0 раз х 1,0 ед. х 11200,00 руб. = 11 200,00 руб. = 11 200,00 руб.</v>
      </c>
    </row>
    <row r="51" spans="1:24" ht="15" x14ac:dyDescent="0.25">
      <c r="A51" s="383"/>
      <c r="B51" s="554"/>
      <c r="C51" s="180"/>
      <c r="D51" s="556"/>
      <c r="E51" s="560"/>
      <c r="F51" s="187" t="s">
        <v>193</v>
      </c>
      <c r="G51" s="182">
        <v>1</v>
      </c>
      <c r="H51" s="183" t="str">
        <f>H50</f>
        <v>раз х</v>
      </c>
      <c r="I51" s="182">
        <v>1</v>
      </c>
      <c r="J51" s="183" t="str">
        <f>J50</f>
        <v>ед. х средняя цена с индексом потребительских цен</v>
      </c>
      <c r="K51" s="189">
        <f>ROUNDUP(K50*(1.041),2)</f>
        <v>11659.2</v>
      </c>
      <c r="L51" s="183" t="s">
        <v>41</v>
      </c>
      <c r="M51" s="182">
        <f>G51*I51*K51</f>
        <v>11659.2</v>
      </c>
      <c r="N51" s="183" t="s">
        <v>41</v>
      </c>
      <c r="O51" s="190">
        <f>ROUNDUP((M51),-2)</f>
        <v>11700</v>
      </c>
      <c r="P51" s="191" t="s">
        <v>37</v>
      </c>
      <c r="Q51" s="192"/>
      <c r="R51" s="181"/>
      <c r="S51" s="550"/>
      <c r="T51" s="550"/>
      <c r="U51" s="550"/>
      <c r="V51" s="180"/>
      <c r="W51" s="161" t="str">
        <f>""&amp;TEXT(G51,"0,0")&amp;" раз х "&amp;TEXT(I51,"0,0")&amp;" ед. х "&amp;TEXT(ROUND((M51/I51/G51),2),"0,00")&amp;" руб. = "&amp;TEXT(ROUND((G51*I51*(ROUND((M51/I51/G51),2))),2),"0 000,00")&amp;" руб. = "&amp;TEXT(O51,"0 000,00")&amp;" руб."</f>
        <v>1,0 раз х 1,0 ед. х 11659,20 руб. = 11 659,20 руб. = 11 700,00 руб.</v>
      </c>
    </row>
    <row r="52" spans="1:24" ht="15" x14ac:dyDescent="0.25">
      <c r="A52" s="383"/>
      <c r="B52" s="554"/>
      <c r="C52" s="180"/>
      <c r="D52" s="556"/>
      <c r="E52" s="560"/>
      <c r="F52" s="187" t="s">
        <v>226</v>
      </c>
      <c r="G52" s="182">
        <v>1</v>
      </c>
      <c r="H52" s="183" t="str">
        <f>H50</f>
        <v>раз х</v>
      </c>
      <c r="I52" s="182">
        <v>1</v>
      </c>
      <c r="J52" s="183" t="str">
        <f>J50</f>
        <v>ед. х средняя цена с индексом потребительских цен</v>
      </c>
      <c r="K52" s="189">
        <f>ROUNDUP(K51*(1.041),2)</f>
        <v>12137.23</v>
      </c>
      <c r="L52" s="183" t="s">
        <v>41</v>
      </c>
      <c r="M52" s="182">
        <f t="shared" ref="M52" si="5">G52*I52*K52</f>
        <v>12137.23</v>
      </c>
      <c r="N52" s="183" t="s">
        <v>41</v>
      </c>
      <c r="O52" s="190">
        <f>ROUNDUP((M52),-2)</f>
        <v>12200</v>
      </c>
      <c r="P52" s="191" t="s">
        <v>37</v>
      </c>
      <c r="Q52" s="192"/>
      <c r="R52" s="181"/>
      <c r="S52" s="551"/>
      <c r="T52" s="551"/>
      <c r="U52" s="551"/>
      <c r="V52" s="180"/>
      <c r="W52" s="161" t="str">
        <f>""&amp;TEXT(G52,"0,0")&amp;" раз х "&amp;TEXT(I52,"0,0")&amp;" ед. х "&amp;TEXT(ROUND((M52/I52/G52),2),"0,00")&amp;" руб. = "&amp;TEXT(ROUND((G52*I52*(ROUND((M52/I52/G52),2))),2),"0 000,00")&amp;" руб. = "&amp;TEXT(O52,"0 000,00")&amp;" руб."</f>
        <v>1,0 раз х 1,0 ед. х 12137,23 руб. = 12 137,23 руб. = 12 200,00 руб.</v>
      </c>
    </row>
    <row r="53" spans="1:24" ht="47.25" x14ac:dyDescent="0.25">
      <c r="A53" s="177" t="s">
        <v>129</v>
      </c>
      <c r="B53" s="266" t="s">
        <v>110</v>
      </c>
      <c r="C53" s="158"/>
      <c r="D53" s="159" t="s">
        <v>35</v>
      </c>
      <c r="E53" s="159" t="s">
        <v>35</v>
      </c>
      <c r="F53" s="538"/>
      <c r="G53" s="539"/>
      <c r="H53" s="539"/>
      <c r="I53" s="539"/>
      <c r="J53" s="539"/>
      <c r="K53" s="539"/>
      <c r="L53" s="539"/>
      <c r="M53" s="539"/>
      <c r="N53" s="539"/>
      <c r="O53" s="539"/>
      <c r="P53" s="539"/>
      <c r="Q53" s="539"/>
      <c r="R53" s="539"/>
      <c r="S53" s="265">
        <f>SUM(S54)</f>
        <v>35100</v>
      </c>
      <c r="T53" s="265">
        <f>SUM(T54)</f>
        <v>36500</v>
      </c>
      <c r="U53" s="265">
        <f>SUM(U54)</f>
        <v>38000</v>
      </c>
      <c r="V53" s="158"/>
      <c r="W53" s="161" t="str">
        <f>"Нормативные "&amp;TEXT(B53,"0")&amp;" включают в себя:
нормативные "&amp;TEXT(B54,"0")&amp;""</f>
        <v>Нормативные затраты по техническому обслуживанию и регламентно-профилактический ремонту комплексных систем обеспечения безопасности включают в себя:
нормативные затраты по техническому обслуживанию охранно-тревожной сигнализации</v>
      </c>
    </row>
    <row r="54" spans="1:24" ht="123" customHeight="1" collapsed="1" x14ac:dyDescent="0.25">
      <c r="A54" s="383" t="s">
        <v>221</v>
      </c>
      <c r="B54" s="553" t="s">
        <v>111</v>
      </c>
      <c r="C54" s="180"/>
      <c r="D54" s="555">
        <v>225</v>
      </c>
      <c r="E54" s="555">
        <v>244</v>
      </c>
      <c r="F54" s="557" t="s">
        <v>268</v>
      </c>
      <c r="G54" s="557"/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557"/>
      <c r="S54" s="550">
        <f>O56</f>
        <v>35100</v>
      </c>
      <c r="T54" s="550">
        <f>O57</f>
        <v>36500</v>
      </c>
      <c r="U54" s="550">
        <f>O58</f>
        <v>38000</v>
      </c>
      <c r="V54" s="180"/>
      <c r="W54" s="161" t="s">
        <v>276</v>
      </c>
    </row>
    <row r="55" spans="1:24" ht="15" hidden="1" outlineLevel="1" x14ac:dyDescent="0.25">
      <c r="A55" s="383"/>
      <c r="B55" s="554"/>
      <c r="C55" s="180"/>
      <c r="D55" s="556"/>
      <c r="E55" s="560"/>
      <c r="F55" s="181"/>
      <c r="G55" s="182">
        <v>12</v>
      </c>
      <c r="H55" s="183" t="s">
        <v>270</v>
      </c>
      <c r="I55" s="182">
        <v>1</v>
      </c>
      <c r="J55" s="183" t="s">
        <v>231</v>
      </c>
      <c r="K55" s="182">
        <f>ROUNDUP((2916.67),2)</f>
        <v>2916.67</v>
      </c>
      <c r="L55" s="183" t="s">
        <v>41</v>
      </c>
      <c r="M55" s="182">
        <f>G55*I55*K55</f>
        <v>35000.04</v>
      </c>
      <c r="N55" s="183" t="s">
        <v>37</v>
      </c>
      <c r="O55" s="184"/>
      <c r="P55" s="185"/>
      <c r="Q55" s="186"/>
      <c r="R55" s="181"/>
      <c r="S55" s="550"/>
      <c r="T55" s="550"/>
      <c r="U55" s="550"/>
      <c r="V55" s="180"/>
      <c r="W55" s="161"/>
    </row>
    <row r="56" spans="1:24" ht="15" x14ac:dyDescent="0.25">
      <c r="A56" s="383"/>
      <c r="B56" s="554"/>
      <c r="C56" s="180"/>
      <c r="D56" s="556"/>
      <c r="E56" s="560"/>
      <c r="F56" s="187" t="s">
        <v>151</v>
      </c>
      <c r="G56" s="182">
        <v>12</v>
      </c>
      <c r="H56" s="188" t="s">
        <v>270</v>
      </c>
      <c r="I56" s="182">
        <v>1</v>
      </c>
      <c r="J56" s="188" t="s">
        <v>271</v>
      </c>
      <c r="K56" s="189">
        <f>ROUNDUP(K55*(1.04-1.04+1),2)</f>
        <v>2916.67</v>
      </c>
      <c r="L56" s="183" t="s">
        <v>41</v>
      </c>
      <c r="M56" s="182">
        <f>G56*I56*K56</f>
        <v>35000.04</v>
      </c>
      <c r="N56" s="183" t="s">
        <v>41</v>
      </c>
      <c r="O56" s="190">
        <f>ROUNDUP((M56),-2)</f>
        <v>35100</v>
      </c>
      <c r="P56" s="191" t="s">
        <v>37</v>
      </c>
      <c r="Q56" s="192"/>
      <c r="R56" s="181"/>
      <c r="S56" s="550"/>
      <c r="T56" s="550"/>
      <c r="U56" s="550"/>
      <c r="V56" s="180"/>
      <c r="W56" s="161" t="str">
        <f>""&amp;TEXT(G56,"0,0")&amp;" раз х "&amp;TEXT(I56,"0,0")&amp;" ед. х "&amp;TEXT(ROUND((M56/I56/G56),2),"0,00")&amp;" руб. = "&amp;TEXT(ROUND((G56*I56*(ROUND((M56/I56/G56),2))),2),"0 000,00")&amp;" руб. = "&amp;TEXT(O56,"0 000,00")&amp;" руб."</f>
        <v>12,0 раз х 1,0 ед. х 2916,67 руб. = 35 000,04 руб. = 35 100,00 руб.</v>
      </c>
    </row>
    <row r="57" spans="1:24" ht="15" x14ac:dyDescent="0.25">
      <c r="A57" s="383"/>
      <c r="B57" s="554"/>
      <c r="C57" s="180"/>
      <c r="D57" s="556"/>
      <c r="E57" s="560"/>
      <c r="F57" s="187" t="s">
        <v>193</v>
      </c>
      <c r="G57" s="182">
        <v>12</v>
      </c>
      <c r="H57" s="183" t="str">
        <f>H56</f>
        <v>раз х</v>
      </c>
      <c r="I57" s="182">
        <v>1</v>
      </c>
      <c r="J57" s="183" t="str">
        <f>J56</f>
        <v>ед. х средняя цена с индексом потребительских цен</v>
      </c>
      <c r="K57" s="189">
        <f>ROUNDUP(K56*(1.041),2)</f>
        <v>3036.26</v>
      </c>
      <c r="L57" s="183" t="s">
        <v>41</v>
      </c>
      <c r="M57" s="182">
        <f>G57*I57*K57</f>
        <v>36435.120000000003</v>
      </c>
      <c r="N57" s="183" t="s">
        <v>41</v>
      </c>
      <c r="O57" s="190">
        <f>ROUNDUP((M57),-2)</f>
        <v>36500</v>
      </c>
      <c r="P57" s="191" t="s">
        <v>37</v>
      </c>
      <c r="Q57" s="192"/>
      <c r="R57" s="181"/>
      <c r="S57" s="550"/>
      <c r="T57" s="550"/>
      <c r="U57" s="550"/>
      <c r="V57" s="180"/>
      <c r="W57" s="161" t="str">
        <f>""&amp;TEXT(G57,"0,0")&amp;" раз х "&amp;TEXT(I57,"0,0")&amp;" ед. х "&amp;TEXT(ROUND((M57/I57/G57),2),"0,00")&amp;" руб. = "&amp;TEXT(ROUND((G57*I57*(ROUND((M57/I57/G57),2))),2),"0 000,00")&amp;" руб. = "&amp;TEXT(O57,"0 000,00")&amp;" руб."</f>
        <v>12,0 раз х 1,0 ед. х 3036,26 руб. = 36 435,12 руб. = 36 500,00 руб.</v>
      </c>
    </row>
    <row r="58" spans="1:24" ht="15" x14ac:dyDescent="0.25">
      <c r="A58" s="383"/>
      <c r="B58" s="554"/>
      <c r="C58" s="180"/>
      <c r="D58" s="556"/>
      <c r="E58" s="560"/>
      <c r="F58" s="187" t="s">
        <v>226</v>
      </c>
      <c r="G58" s="182">
        <v>12</v>
      </c>
      <c r="H58" s="183" t="str">
        <f>H56</f>
        <v>раз х</v>
      </c>
      <c r="I58" s="182">
        <v>1</v>
      </c>
      <c r="J58" s="183" t="str">
        <f>J56</f>
        <v>ед. х средняя цена с индексом потребительских цен</v>
      </c>
      <c r="K58" s="189">
        <f>ROUNDUP(K57*(1.041),2)</f>
        <v>3160.75</v>
      </c>
      <c r="L58" s="183" t="s">
        <v>41</v>
      </c>
      <c r="M58" s="182">
        <f t="shared" ref="M58" si="6">G58*I58*K58</f>
        <v>37929</v>
      </c>
      <c r="N58" s="183" t="s">
        <v>41</v>
      </c>
      <c r="O58" s="190">
        <f>ROUNDUP((M58),-2)</f>
        <v>38000</v>
      </c>
      <c r="P58" s="191" t="s">
        <v>37</v>
      </c>
      <c r="Q58" s="192"/>
      <c r="R58" s="181"/>
      <c r="S58" s="551"/>
      <c r="T58" s="551"/>
      <c r="U58" s="551"/>
      <c r="V58" s="180"/>
      <c r="W58" s="161" t="str">
        <f>""&amp;TEXT(G58,"0,0")&amp;" раз х "&amp;TEXT(I58,"0,0")&amp;" ед. х "&amp;TEXT(ROUND((M58/I58/G58),2),"0,00")&amp;" руб. = "&amp;TEXT(ROUND((G58*I58*(ROUND((M58/I58/G58),2))),2),"0 000,00")&amp;" руб. = "&amp;TEXT(O58,"0 000,00")&amp;" руб."</f>
        <v>12,0 раз х 1,0 ед. х 3160,75 руб. = 37 929,00 руб. = 38 000,00 руб.</v>
      </c>
    </row>
    <row r="59" spans="1:24" ht="127.5" customHeight="1" collapsed="1" x14ac:dyDescent="0.25">
      <c r="A59" s="383" t="s">
        <v>222</v>
      </c>
      <c r="B59" s="553" t="s">
        <v>116</v>
      </c>
      <c r="C59" s="180"/>
      <c r="D59" s="555">
        <v>225</v>
      </c>
      <c r="E59" s="555">
        <v>244</v>
      </c>
      <c r="F59" s="557" t="s">
        <v>237</v>
      </c>
      <c r="G59" s="557"/>
      <c r="H59" s="557"/>
      <c r="I59" s="557"/>
      <c r="J59" s="557"/>
      <c r="K59" s="557"/>
      <c r="L59" s="557"/>
      <c r="M59" s="557"/>
      <c r="N59" s="557"/>
      <c r="O59" s="557"/>
      <c r="P59" s="557"/>
      <c r="Q59" s="557"/>
      <c r="R59" s="557"/>
      <c r="S59" s="550">
        <f>O61</f>
        <v>6000</v>
      </c>
      <c r="T59" s="550">
        <f>O62</f>
        <v>6200</v>
      </c>
      <c r="U59" s="550">
        <f>O63</f>
        <v>6500</v>
      </c>
      <c r="V59" s="64"/>
      <c r="W59" s="161" t="s">
        <v>277</v>
      </c>
    </row>
    <row r="60" spans="1:24" ht="15" hidden="1" outlineLevel="1" x14ac:dyDescent="0.25">
      <c r="A60" s="383"/>
      <c r="B60" s="554"/>
      <c r="C60" s="180"/>
      <c r="D60" s="556"/>
      <c r="E60" s="560"/>
      <c r="F60" s="181"/>
      <c r="G60" s="182">
        <v>4</v>
      </c>
      <c r="H60" s="183" t="s">
        <v>270</v>
      </c>
      <c r="I60" s="182">
        <v>1</v>
      </c>
      <c r="J60" s="183" t="s">
        <v>231</v>
      </c>
      <c r="K60" s="182">
        <f>ROUNDUP((1422.19),2)</f>
        <v>1422.19</v>
      </c>
      <c r="L60" s="183" t="s">
        <v>41</v>
      </c>
      <c r="M60" s="182">
        <f>G60*I60*K60</f>
        <v>5688.76</v>
      </c>
      <c r="N60" s="183" t="s">
        <v>37</v>
      </c>
      <c r="O60" s="184"/>
      <c r="P60" s="185"/>
      <c r="Q60" s="186"/>
      <c r="R60" s="181"/>
      <c r="S60" s="550"/>
      <c r="T60" s="550"/>
      <c r="U60" s="550"/>
      <c r="V60" s="64"/>
      <c r="W60" s="161"/>
    </row>
    <row r="61" spans="1:24" ht="15" x14ac:dyDescent="0.25">
      <c r="A61" s="383"/>
      <c r="B61" s="554"/>
      <c r="C61" s="180"/>
      <c r="D61" s="556"/>
      <c r="E61" s="560"/>
      <c r="F61" s="187" t="s">
        <v>151</v>
      </c>
      <c r="G61" s="182">
        <v>4</v>
      </c>
      <c r="H61" s="188" t="s">
        <v>270</v>
      </c>
      <c r="I61" s="182">
        <v>1</v>
      </c>
      <c r="J61" s="188" t="s">
        <v>271</v>
      </c>
      <c r="K61" s="189">
        <f>ROUNDUP(K60*(1.04),2)</f>
        <v>1479.08</v>
      </c>
      <c r="L61" s="183" t="s">
        <v>41</v>
      </c>
      <c r="M61" s="182">
        <f>G61*I61*K61</f>
        <v>5916.32</v>
      </c>
      <c r="N61" s="183" t="s">
        <v>41</v>
      </c>
      <c r="O61" s="190">
        <f>ROUNDUP((M61),-2)</f>
        <v>6000</v>
      </c>
      <c r="P61" s="191" t="s">
        <v>37</v>
      </c>
      <c r="Q61" s="192"/>
      <c r="R61" s="181"/>
      <c r="S61" s="550"/>
      <c r="T61" s="550"/>
      <c r="U61" s="550"/>
      <c r="V61" s="64"/>
      <c r="W61" s="161" t="str">
        <f>""&amp;TEXT(G61,"0,0")&amp;" раз х "&amp;TEXT(I61,"0,0")&amp;" ед. х "&amp;TEXT(ROUND((M61/I61/G61),2),"0,00")&amp;" руб. = "&amp;TEXT(ROUND((G61*I61*(ROUND((M61/I61/G61),2))),2),"0 000,00")&amp;" руб. = "&amp;TEXT(O61,"0 000,00")&amp;" руб."</f>
        <v>4,0 раз х 1,0 ед. х 1479,08 руб. = 5 916,32 руб. = 6 000,00 руб.</v>
      </c>
    </row>
    <row r="62" spans="1:24" ht="15" x14ac:dyDescent="0.25">
      <c r="A62" s="383"/>
      <c r="B62" s="554"/>
      <c r="C62" s="180"/>
      <c r="D62" s="556"/>
      <c r="E62" s="560"/>
      <c r="F62" s="187" t="s">
        <v>193</v>
      </c>
      <c r="G62" s="182">
        <v>4</v>
      </c>
      <c r="H62" s="183" t="str">
        <f>H61</f>
        <v>раз х</v>
      </c>
      <c r="I62" s="182">
        <v>1</v>
      </c>
      <c r="J62" s="183" t="str">
        <f>J61</f>
        <v>ед. х средняя цена с индексом потребительских цен</v>
      </c>
      <c r="K62" s="189">
        <f>ROUNDUP(K61*(1.041),2)</f>
        <v>1539.73</v>
      </c>
      <c r="L62" s="183" t="s">
        <v>41</v>
      </c>
      <c r="M62" s="182">
        <f>G62*I62*K62</f>
        <v>6158.92</v>
      </c>
      <c r="N62" s="183" t="s">
        <v>41</v>
      </c>
      <c r="O62" s="190">
        <f>ROUNDUP((M62),-2)</f>
        <v>6200</v>
      </c>
      <c r="P62" s="191" t="s">
        <v>37</v>
      </c>
      <c r="Q62" s="192"/>
      <c r="R62" s="181"/>
      <c r="S62" s="550"/>
      <c r="T62" s="550"/>
      <c r="U62" s="550"/>
      <c r="V62" s="64"/>
      <c r="W62" s="161" t="str">
        <f>""&amp;TEXT(G62,"0,0")&amp;" раз х "&amp;TEXT(I62,"0,0")&amp;" ед. х "&amp;TEXT(ROUND((M62/I62/G62),2),"0,00")&amp;" руб. = "&amp;TEXT(ROUND((G62*I62*(ROUND((M62/I62/G62),2))),2),"0 000,00")&amp;" руб. = "&amp;TEXT(O62,"0 000,00")&amp;" руб."</f>
        <v>4,0 раз х 1,0 ед. х 1539,73 руб. = 6 158,92 руб. = 6 200,00 руб.</v>
      </c>
    </row>
    <row r="63" spans="1:24" ht="15" x14ac:dyDescent="0.25">
      <c r="A63" s="383"/>
      <c r="B63" s="554"/>
      <c r="C63" s="180"/>
      <c r="D63" s="556"/>
      <c r="E63" s="560"/>
      <c r="F63" s="187" t="s">
        <v>226</v>
      </c>
      <c r="G63" s="182">
        <v>4</v>
      </c>
      <c r="H63" s="183" t="str">
        <f>H61</f>
        <v>раз х</v>
      </c>
      <c r="I63" s="182">
        <v>1</v>
      </c>
      <c r="J63" s="183" t="str">
        <f>J61</f>
        <v>ед. х средняя цена с индексом потребительских цен</v>
      </c>
      <c r="K63" s="189">
        <f>ROUNDUP(K62*(1.041),2)</f>
        <v>1602.86</v>
      </c>
      <c r="L63" s="183" t="s">
        <v>41</v>
      </c>
      <c r="M63" s="182">
        <f t="shared" ref="M63" si="7">G63*I63*K63</f>
        <v>6411.44</v>
      </c>
      <c r="N63" s="183" t="s">
        <v>41</v>
      </c>
      <c r="O63" s="190">
        <f>ROUNDUP((M63),-2)</f>
        <v>6500</v>
      </c>
      <c r="P63" s="191" t="s">
        <v>37</v>
      </c>
      <c r="Q63" s="192"/>
      <c r="R63" s="181"/>
      <c r="S63" s="551"/>
      <c r="T63" s="551"/>
      <c r="U63" s="551"/>
      <c r="V63" s="64"/>
      <c r="W63" s="161" t="str">
        <f>""&amp;TEXT(G63,"0,0")&amp;" раз х "&amp;TEXT(I63,"0,0")&amp;" ед. х "&amp;TEXT(ROUND((M63/I63/G63),2),"0,00")&amp;" руб. = "&amp;TEXT(ROUND((G63*I63*(ROUND((M63/I63/G63),2))),2),"0 000,00")&amp;" руб. = "&amp;TEXT(O63,"0 000,00")&amp;" руб."</f>
        <v>4,0 раз х 1,0 ед. х 1602,86 руб. = 6 411,44 руб. = 6 500,00 руб.</v>
      </c>
    </row>
    <row r="64" spans="1:24" ht="31.5" x14ac:dyDescent="0.25">
      <c r="A64" s="156" t="s">
        <v>203</v>
      </c>
      <c r="B64" s="178" t="s">
        <v>204</v>
      </c>
      <c r="C64" s="158"/>
      <c r="D64" s="194" t="s">
        <v>205</v>
      </c>
      <c r="E64" s="194" t="s">
        <v>206</v>
      </c>
      <c r="F64" s="538"/>
      <c r="G64" s="539"/>
      <c r="H64" s="539"/>
      <c r="I64" s="539"/>
      <c r="J64" s="539"/>
      <c r="K64" s="539"/>
      <c r="L64" s="539"/>
      <c r="M64" s="539"/>
      <c r="N64" s="539"/>
      <c r="O64" s="539"/>
      <c r="P64" s="539"/>
      <c r="Q64" s="539"/>
      <c r="R64" s="539"/>
      <c r="S64" s="160">
        <f>S65+S70</f>
        <v>62900</v>
      </c>
      <c r="T64" s="160">
        <f t="shared" ref="T64:U64" si="8">T65+T70</f>
        <v>72500</v>
      </c>
      <c r="U64" s="160">
        <f t="shared" si="8"/>
        <v>68200</v>
      </c>
      <c r="V64" s="158"/>
      <c r="W64" s="161" t="str">
        <f>"Нормативные "&amp;TEXT(B64,"0")&amp;" включают в себя:
нормативные "&amp;TEXT(B65,"0")&amp;""</f>
        <v>Нормативные иные затраты на техническое обслуживание и содержание имущества включают в себя:
нормативные затраты по вывозу и утилизации отработанных картриджей</v>
      </c>
      <c r="X64" s="80"/>
    </row>
    <row r="65" spans="1:23" s="75" customFormat="1" ht="113.25" customHeight="1" collapsed="1" x14ac:dyDescent="0.25">
      <c r="A65" s="383" t="s">
        <v>207</v>
      </c>
      <c r="B65" s="553" t="s">
        <v>208</v>
      </c>
      <c r="C65" s="193"/>
      <c r="D65" s="555">
        <v>225</v>
      </c>
      <c r="E65" s="555">
        <v>244</v>
      </c>
      <c r="F65" s="557" t="s">
        <v>237</v>
      </c>
      <c r="G65" s="557"/>
      <c r="H65" s="557"/>
      <c r="I65" s="557"/>
      <c r="J65" s="557"/>
      <c r="K65" s="557"/>
      <c r="L65" s="557"/>
      <c r="M65" s="557"/>
      <c r="N65" s="557"/>
      <c r="O65" s="557"/>
      <c r="P65" s="557"/>
      <c r="Q65" s="557"/>
      <c r="R65" s="557"/>
      <c r="S65" s="550">
        <f>O67</f>
        <v>62900</v>
      </c>
      <c r="T65" s="550">
        <f>O68</f>
        <v>65500</v>
      </c>
      <c r="U65" s="550">
        <f>O69</f>
        <v>68200</v>
      </c>
      <c r="V65" s="193"/>
      <c r="W65" s="195" t="s">
        <v>278</v>
      </c>
    </row>
    <row r="66" spans="1:23" ht="21" hidden="1" customHeight="1" outlineLevel="1" x14ac:dyDescent="0.25">
      <c r="A66" s="383"/>
      <c r="B66" s="554"/>
      <c r="C66" s="180"/>
      <c r="D66" s="556"/>
      <c r="E66" s="560"/>
      <c r="F66" s="181"/>
      <c r="G66" s="182">
        <v>1</v>
      </c>
      <c r="H66" s="183" t="s">
        <v>270</v>
      </c>
      <c r="I66" s="182">
        <v>1</v>
      </c>
      <c r="J66" s="183" t="s">
        <v>231</v>
      </c>
      <c r="K66" s="182">
        <f>ROUNDUP((60450),2)</f>
        <v>60450</v>
      </c>
      <c r="L66" s="183" t="s">
        <v>41</v>
      </c>
      <c r="M66" s="182">
        <f>G66*I66*K66</f>
        <v>60450</v>
      </c>
      <c r="N66" s="183" t="s">
        <v>37</v>
      </c>
      <c r="O66" s="184"/>
      <c r="P66" s="185"/>
      <c r="Q66" s="186"/>
      <c r="R66" s="181"/>
      <c r="S66" s="550"/>
      <c r="T66" s="550"/>
      <c r="U66" s="550"/>
      <c r="V66" s="180"/>
      <c r="W66" s="161"/>
    </row>
    <row r="67" spans="1:23" ht="15" x14ac:dyDescent="0.25">
      <c r="A67" s="383"/>
      <c r="B67" s="554"/>
      <c r="C67" s="180"/>
      <c r="D67" s="556"/>
      <c r="E67" s="560"/>
      <c r="F67" s="187" t="s">
        <v>151</v>
      </c>
      <c r="G67" s="182">
        <v>1</v>
      </c>
      <c r="H67" s="188" t="s">
        <v>270</v>
      </c>
      <c r="I67" s="182">
        <v>1</v>
      </c>
      <c r="J67" s="188" t="s">
        <v>271</v>
      </c>
      <c r="K67" s="189">
        <f>ROUNDUP(K66*(1.04),2)</f>
        <v>62868</v>
      </c>
      <c r="L67" s="183" t="s">
        <v>41</v>
      </c>
      <c r="M67" s="182">
        <f>G67*I67*K67</f>
        <v>62868</v>
      </c>
      <c r="N67" s="183" t="s">
        <v>41</v>
      </c>
      <c r="O67" s="190">
        <f>ROUNDUP((M67),-2)</f>
        <v>62900</v>
      </c>
      <c r="P67" s="191" t="s">
        <v>37</v>
      </c>
      <c r="Q67" s="192"/>
      <c r="R67" s="181"/>
      <c r="S67" s="550"/>
      <c r="T67" s="550"/>
      <c r="U67" s="550"/>
      <c r="V67" s="180"/>
      <c r="W67" s="161" t="str">
        <f>""&amp;TEXT(G67,"0,0")&amp;" раз х "&amp;TEXT(I67,"0,0")&amp;" ед. х "&amp;TEXT(ROUND((M67/I67/G67),2),"0,00")&amp;" руб. = "&amp;TEXT(ROUND((G67*I67*(ROUND((M67/I67/G67),2))),2),"0 000,00")&amp;" руб. = "&amp;TEXT(O67,"0 000,00")&amp;" руб."</f>
        <v>1,0 раз х 1,0 ед. х 62868,00 руб. = 62 868,00 руб. = 62 900,00 руб.</v>
      </c>
    </row>
    <row r="68" spans="1:23" ht="15" x14ac:dyDescent="0.25">
      <c r="A68" s="383"/>
      <c r="B68" s="554"/>
      <c r="C68" s="180"/>
      <c r="D68" s="556"/>
      <c r="E68" s="560"/>
      <c r="F68" s="187" t="s">
        <v>193</v>
      </c>
      <c r="G68" s="182">
        <v>1</v>
      </c>
      <c r="H68" s="183" t="str">
        <f>H67</f>
        <v>раз х</v>
      </c>
      <c r="I68" s="182">
        <v>1</v>
      </c>
      <c r="J68" s="183" t="str">
        <f>J67</f>
        <v>ед. х средняя цена с индексом потребительских цен</v>
      </c>
      <c r="K68" s="189">
        <f>ROUNDUP(K67*(1.041),2)</f>
        <v>65445.590000000004</v>
      </c>
      <c r="L68" s="183" t="s">
        <v>41</v>
      </c>
      <c r="M68" s="182">
        <f t="shared" ref="M68:M69" si="9">G68*I68*K68</f>
        <v>65445.590000000004</v>
      </c>
      <c r="N68" s="183" t="s">
        <v>41</v>
      </c>
      <c r="O68" s="190">
        <f>ROUNDUP((M68),-2)</f>
        <v>65500</v>
      </c>
      <c r="P68" s="191" t="s">
        <v>37</v>
      </c>
      <c r="Q68" s="192"/>
      <c r="R68" s="181"/>
      <c r="S68" s="550"/>
      <c r="T68" s="550"/>
      <c r="U68" s="550"/>
      <c r="V68" s="180"/>
      <c r="W68" s="161" t="str">
        <f>""&amp;TEXT(G68,"0,0")&amp;" раз х "&amp;TEXT(I68,"0,0")&amp;" ед. х "&amp;TEXT(ROUND((M68/I68/G68),2),"0,00")&amp;" руб. = "&amp;TEXT(ROUND((G68*I68*(ROUND((M68/I68/G68),2))),2),"0 000,00")&amp;" руб. = "&amp;TEXT(O68,"0 000,00")&amp;" руб."</f>
        <v>1,0 раз х 1,0 ед. х 65445,59 руб. = 65 445,59 руб. = 65 500,00 руб.</v>
      </c>
    </row>
    <row r="69" spans="1:23" ht="15" x14ac:dyDescent="0.25">
      <c r="A69" s="383"/>
      <c r="B69" s="554"/>
      <c r="C69" s="180"/>
      <c r="D69" s="556"/>
      <c r="E69" s="560"/>
      <c r="F69" s="187" t="s">
        <v>226</v>
      </c>
      <c r="G69" s="182">
        <v>1</v>
      </c>
      <c r="H69" s="183" t="str">
        <f>H67</f>
        <v>раз х</v>
      </c>
      <c r="I69" s="182">
        <v>1</v>
      </c>
      <c r="J69" s="183" t="str">
        <f>J67</f>
        <v>ед. х средняя цена с индексом потребительских цен</v>
      </c>
      <c r="K69" s="189">
        <f>ROUNDUP(K68*(1.041),2)</f>
        <v>68128.86</v>
      </c>
      <c r="L69" s="183" t="s">
        <v>41</v>
      </c>
      <c r="M69" s="182">
        <f t="shared" si="9"/>
        <v>68128.86</v>
      </c>
      <c r="N69" s="183" t="s">
        <v>41</v>
      </c>
      <c r="O69" s="190">
        <f>ROUNDUP((M69),-2)</f>
        <v>68200</v>
      </c>
      <c r="P69" s="191" t="s">
        <v>37</v>
      </c>
      <c r="Q69" s="192"/>
      <c r="R69" s="181"/>
      <c r="S69" s="551"/>
      <c r="T69" s="551"/>
      <c r="U69" s="551"/>
      <c r="V69" s="180"/>
      <c r="W69" s="161" t="str">
        <f>""&amp;TEXT(G69,"0,0")&amp;" раз х "&amp;TEXT(I69,"0,0")&amp;" ед. х "&amp;TEXT(ROUND((M69/I69/G69),2),"0,00")&amp;" руб. = "&amp;TEXT(ROUND((G69*I69*(ROUND((M69/I69/G69),2))),2),"0 000,00")&amp;" руб. = "&amp;TEXT(O69,"0 000,00")&amp;" руб."</f>
        <v>1,0 раз х 1,0 ед. х 68128,86 руб. = 68 128,86 руб. = 68 200,00 руб.</v>
      </c>
    </row>
    <row r="70" spans="1:23" s="199" customFormat="1" ht="118.5" customHeight="1" collapsed="1" x14ac:dyDescent="0.25">
      <c r="A70" s="383" t="s">
        <v>238</v>
      </c>
      <c r="B70" s="561" t="s">
        <v>236</v>
      </c>
      <c r="C70" s="196"/>
      <c r="D70" s="563">
        <v>225</v>
      </c>
      <c r="E70" s="563">
        <v>244</v>
      </c>
      <c r="F70" s="566"/>
      <c r="G70" s="566"/>
      <c r="H70" s="566"/>
      <c r="I70" s="566"/>
      <c r="J70" s="566"/>
      <c r="K70" s="566"/>
      <c r="L70" s="566"/>
      <c r="M70" s="566"/>
      <c r="N70" s="566"/>
      <c r="O70" s="566"/>
      <c r="P70" s="566"/>
      <c r="Q70" s="566"/>
      <c r="R70" s="566"/>
      <c r="S70" s="197">
        <f>O72</f>
        <v>0</v>
      </c>
      <c r="T70" s="197">
        <f>O73</f>
        <v>7000</v>
      </c>
      <c r="U70" s="197">
        <f>O74</f>
        <v>0</v>
      </c>
      <c r="V70" s="196"/>
      <c r="W70" s="198" t="s">
        <v>279</v>
      </c>
    </row>
    <row r="71" spans="1:23" s="204" customFormat="1" ht="15" hidden="1" customHeight="1" outlineLevel="1" x14ac:dyDescent="0.25">
      <c r="A71" s="383"/>
      <c r="B71" s="562"/>
      <c r="C71" s="200"/>
      <c r="D71" s="564"/>
      <c r="E71" s="565"/>
      <c r="F71" s="201"/>
      <c r="G71" s="202"/>
      <c r="H71" s="203" t="s">
        <v>77</v>
      </c>
      <c r="I71" s="202"/>
      <c r="J71" s="203" t="s">
        <v>67</v>
      </c>
      <c r="K71" s="202"/>
      <c r="L71" s="203" t="s">
        <v>41</v>
      </c>
      <c r="M71" s="202"/>
      <c r="N71" s="203" t="s">
        <v>37</v>
      </c>
      <c r="P71" s="205"/>
      <c r="Q71" s="206"/>
      <c r="R71" s="207"/>
      <c r="S71" s="197"/>
      <c r="T71" s="197"/>
      <c r="U71" s="197"/>
      <c r="V71" s="200"/>
      <c r="W71" s="198"/>
    </row>
    <row r="72" spans="1:23" s="204" customFormat="1" ht="18" hidden="1" customHeight="1" x14ac:dyDescent="0.25">
      <c r="A72" s="383"/>
      <c r="B72" s="562"/>
      <c r="C72" s="200"/>
      <c r="D72" s="564"/>
      <c r="E72" s="565"/>
      <c r="F72" s="208" t="s">
        <v>151</v>
      </c>
      <c r="G72" s="202">
        <v>0</v>
      </c>
      <c r="H72" s="203" t="s">
        <v>77</v>
      </c>
      <c r="I72" s="209">
        <v>0</v>
      </c>
      <c r="J72" s="203" t="s">
        <v>25</v>
      </c>
      <c r="K72" s="202">
        <v>0</v>
      </c>
      <c r="L72" s="203" t="s">
        <v>41</v>
      </c>
      <c r="M72" s="202">
        <f>ROUND((G72*I72*K72),2)</f>
        <v>0</v>
      </c>
      <c r="N72" s="203" t="s">
        <v>37</v>
      </c>
      <c r="O72" s="210">
        <f>ROUNDUP((M72),-2)</f>
        <v>0</v>
      </c>
      <c r="P72" s="211" t="s">
        <v>37</v>
      </c>
      <c r="Q72" s="212"/>
      <c r="R72" s="207"/>
      <c r="S72" s="197"/>
      <c r="T72" s="197"/>
      <c r="U72" s="197"/>
      <c r="V72" s="200"/>
      <c r="W72" s="198" t="str">
        <f>""&amp;TEXT($G$72,"0,0")&amp;" шт. х "&amp;TEXT($I$72,"0,0")&amp;" раз х "&amp;TEXT(ROUND((K72),2),"000,00")&amp;" руб. = "&amp;TEXT(ROUND((M72),2),"000,00")&amp;" руб. = "&amp;TEXT(O72,"0 000,00")&amp;" руб."</f>
        <v>0,0 шт. х 0,0 раз х 000,00 руб. = 000,00 руб. = 0 000,00 руб.</v>
      </c>
    </row>
    <row r="73" spans="1:23" s="204" customFormat="1" ht="18.75" customHeight="1" x14ac:dyDescent="0.25">
      <c r="A73" s="383"/>
      <c r="B73" s="562"/>
      <c r="C73" s="200"/>
      <c r="D73" s="564"/>
      <c r="E73" s="565"/>
      <c r="F73" s="208" t="s">
        <v>193</v>
      </c>
      <c r="G73" s="202">
        <v>61</v>
      </c>
      <c r="H73" s="203" t="s">
        <v>77</v>
      </c>
      <c r="I73" s="209">
        <v>1</v>
      </c>
      <c r="J73" s="203" t="s">
        <v>25</v>
      </c>
      <c r="K73" s="209">
        <v>114</v>
      </c>
      <c r="L73" s="203" t="s">
        <v>41</v>
      </c>
      <c r="M73" s="202">
        <f t="shared" ref="M73:M74" si="10">ROUND((G73*I73*K73),2)</f>
        <v>6954</v>
      </c>
      <c r="N73" s="203" t="s">
        <v>37</v>
      </c>
      <c r="O73" s="210">
        <f>ROUNDUP((M73),-2)</f>
        <v>7000</v>
      </c>
      <c r="P73" s="211" t="s">
        <v>37</v>
      </c>
      <c r="Q73" s="212"/>
      <c r="R73" s="207"/>
      <c r="S73" s="197"/>
      <c r="T73" s="197"/>
      <c r="U73" s="197"/>
      <c r="V73" s="200"/>
      <c r="W73" s="198" t="str">
        <f>""&amp;TEXT($G$73,"0,0")&amp;" шт. х "&amp;TEXT($I$38,"0,0")&amp;" раз х "&amp;TEXT(ROUND((K73),2),"000,00")&amp;" руб. = "&amp;TEXT(ROUND((M73),2),"000,00")&amp;" руб. = "&amp;TEXT(O73,"0 000,00")&amp;" руб."</f>
        <v>61,0 шт. х 1,0 раз х 114,00 руб. = 6954,00 руб. = 7 000,00 руб.</v>
      </c>
    </row>
    <row r="74" spans="1:23" s="204" customFormat="1" ht="19.5" hidden="1" customHeight="1" x14ac:dyDescent="0.25">
      <c r="A74" s="383"/>
      <c r="B74" s="562"/>
      <c r="C74" s="200"/>
      <c r="D74" s="564"/>
      <c r="E74" s="565"/>
      <c r="F74" s="208" t="s">
        <v>226</v>
      </c>
      <c r="G74" s="202">
        <v>0</v>
      </c>
      <c r="H74" s="203" t="s">
        <v>77</v>
      </c>
      <c r="I74" s="209">
        <v>0</v>
      </c>
      <c r="J74" s="203" t="s">
        <v>25</v>
      </c>
      <c r="K74" s="209">
        <v>0</v>
      </c>
      <c r="L74" s="203" t="s">
        <v>41</v>
      </c>
      <c r="M74" s="202">
        <f t="shared" si="10"/>
        <v>0</v>
      </c>
      <c r="N74" s="203" t="s">
        <v>37</v>
      </c>
      <c r="O74" s="210">
        <f>ROUNDUP((M74),-2)</f>
        <v>0</v>
      </c>
      <c r="P74" s="211" t="s">
        <v>37</v>
      </c>
      <c r="Q74" s="210"/>
      <c r="R74" s="207"/>
      <c r="S74" s="213"/>
      <c r="T74" s="213"/>
      <c r="U74" s="213"/>
      <c r="V74" s="200"/>
      <c r="W74" s="198" t="str">
        <f>""&amp;TEXT($G$74,"0,0")&amp;" шт. х "&amp;TEXT($I$74,"0,0")&amp;" раз х "&amp;TEXT(ROUND((K74),2),"000,00")&amp;" руб. = "&amp;TEXT(ROUND((M74),2),"000,00")&amp;" руб. = "&amp;TEXT(O74,"0 000,00")&amp;" руб."</f>
        <v>0,0 шт. х 0,0 раз х 000,00 руб. = 000,00 руб. = 0 000,00 руб.</v>
      </c>
    </row>
    <row r="75" spans="1:23" ht="124.5" customHeight="1" x14ac:dyDescent="0.25">
      <c r="A75" s="214" t="s">
        <v>12</v>
      </c>
      <c r="B75" s="215" t="s">
        <v>109</v>
      </c>
      <c r="C75" s="216"/>
      <c r="D75" s="159" t="s">
        <v>35</v>
      </c>
      <c r="E75" s="159" t="s">
        <v>35</v>
      </c>
      <c r="F75" s="538"/>
      <c r="G75" s="539"/>
      <c r="H75" s="539"/>
      <c r="I75" s="539"/>
      <c r="J75" s="539"/>
      <c r="K75" s="539"/>
      <c r="L75" s="539"/>
      <c r="M75" s="539"/>
      <c r="N75" s="539"/>
      <c r="O75" s="539"/>
      <c r="P75" s="539"/>
      <c r="Q75" s="539"/>
      <c r="R75" s="539"/>
      <c r="S75" s="217">
        <f>SUM(S76,S81,S92,S97)</f>
        <v>571600</v>
      </c>
      <c r="T75" s="217">
        <f>SUM(T76,T81,T92,T97)</f>
        <v>592700</v>
      </c>
      <c r="U75" s="217">
        <f>SUM(U76,U81,U92,U97)</f>
        <v>619300</v>
      </c>
      <c r="V75" s="218"/>
      <c r="W75" s="161" t="s">
        <v>280</v>
      </c>
    </row>
    <row r="76" spans="1:23" ht="62.25" customHeight="1" x14ac:dyDescent="0.25">
      <c r="A76" s="177" t="s">
        <v>13</v>
      </c>
      <c r="B76" s="219" t="s">
        <v>104</v>
      </c>
      <c r="C76" s="158"/>
      <c r="D76" s="159" t="s">
        <v>35</v>
      </c>
      <c r="E76" s="159" t="s">
        <v>35</v>
      </c>
      <c r="F76" s="538"/>
      <c r="G76" s="539"/>
      <c r="H76" s="539"/>
      <c r="I76" s="539"/>
      <c r="J76" s="539"/>
      <c r="K76" s="539"/>
      <c r="L76" s="539"/>
      <c r="M76" s="539"/>
      <c r="N76" s="539"/>
      <c r="O76" s="539"/>
      <c r="P76" s="539"/>
      <c r="Q76" s="539"/>
      <c r="R76" s="539"/>
      <c r="S76" s="265">
        <f>SUM(S77)</f>
        <v>429400</v>
      </c>
      <c r="T76" s="265">
        <f>SUM(T77)</f>
        <v>447300</v>
      </c>
      <c r="U76" s="265">
        <f>SUM(U77)</f>
        <v>465100</v>
      </c>
      <c r="V76" s="158"/>
      <c r="W76" s="220" t="str">
        <f>"Нормативные "&amp;TEXT(B76,"0")&amp;" включают в себя:
нормативные "&amp;TEXT(B77,"0")&amp;""</f>
        <v>Нормативные затраты на оплату типографских работ и услуг, включая приобретение периодических печатных изданий включают в себя:
нормативные затраты на приобретение периодических печатных изданий</v>
      </c>
    </row>
    <row r="77" spans="1:23" ht="90" x14ac:dyDescent="0.25">
      <c r="A77" s="567" t="s">
        <v>130</v>
      </c>
      <c r="B77" s="540" t="s">
        <v>103</v>
      </c>
      <c r="C77" s="170"/>
      <c r="D77" s="542">
        <v>226</v>
      </c>
      <c r="E77" s="542">
        <v>244</v>
      </c>
      <c r="F77" s="544" t="s">
        <v>52</v>
      </c>
      <c r="G77" s="544"/>
      <c r="H77" s="544"/>
      <c r="I77" s="544"/>
      <c r="J77" s="544"/>
      <c r="K77" s="544"/>
      <c r="L77" s="544"/>
      <c r="M77" s="544"/>
      <c r="N77" s="544"/>
      <c r="O77" s="544"/>
      <c r="P77" s="544"/>
      <c r="Q77" s="544"/>
      <c r="R77" s="544"/>
      <c r="S77" s="545">
        <f>O78</f>
        <v>429400</v>
      </c>
      <c r="T77" s="545">
        <f>O79</f>
        <v>447300</v>
      </c>
      <c r="U77" s="545">
        <f>O80</f>
        <v>465100</v>
      </c>
      <c r="V77" s="170"/>
      <c r="W77" s="267" t="s">
        <v>51</v>
      </c>
    </row>
    <row r="78" spans="1:23" ht="15" x14ac:dyDescent="0.25">
      <c r="A78" s="567"/>
      <c r="B78" s="541"/>
      <c r="C78" s="170"/>
      <c r="D78" s="543"/>
      <c r="E78" s="543"/>
      <c r="F78" s="164" t="s">
        <v>151</v>
      </c>
      <c r="G78" s="165">
        <v>213</v>
      </c>
      <c r="H78" s="166" t="s">
        <v>48</v>
      </c>
      <c r="I78" s="165">
        <v>168</v>
      </c>
      <c r="J78" s="166" t="s">
        <v>49</v>
      </c>
      <c r="K78" s="165">
        <v>12</v>
      </c>
      <c r="L78" s="166" t="s">
        <v>50</v>
      </c>
      <c r="M78" s="165">
        <f>ROUND((G78*I78*K78),2)</f>
        <v>429408</v>
      </c>
      <c r="N78" s="166" t="s">
        <v>41</v>
      </c>
      <c r="O78" s="167">
        <f>ROUNDDOWN((M78),-2)</f>
        <v>429400</v>
      </c>
      <c r="P78" s="168" t="s">
        <v>37</v>
      </c>
      <c r="Q78" s="166"/>
      <c r="R78" s="171"/>
      <c r="S78" s="545"/>
      <c r="T78" s="545"/>
      <c r="U78" s="545"/>
      <c r="V78" s="170"/>
      <c r="W78" s="267" t="str">
        <f>""&amp;TEXT(G78,"000,00")&amp;" шт.ед. х норматив "&amp;TEXT(I78,"0,00")&amp;" руб. х "&amp;TEXT(K78,"00,0")&amp;" мес.  = "&amp;TEXT(M78,"0 000,00")&amp;" руб. = "&amp;TEXT(O78,"0 000,00")&amp;" руб."</f>
        <v>213,00 шт.ед. х норматив 168,00 руб. х 12,0 мес.  = 429 408,00 руб. = 429 400,00 руб.</v>
      </c>
    </row>
    <row r="79" spans="1:23" ht="15" x14ac:dyDescent="0.25">
      <c r="A79" s="567"/>
      <c r="B79" s="541"/>
      <c r="C79" s="170"/>
      <c r="D79" s="543"/>
      <c r="E79" s="543"/>
      <c r="F79" s="164" t="s">
        <v>193</v>
      </c>
      <c r="G79" s="165">
        <v>213</v>
      </c>
      <c r="H79" s="166" t="s">
        <v>48</v>
      </c>
      <c r="I79" s="165">
        <v>175</v>
      </c>
      <c r="J79" s="166" t="s">
        <v>49</v>
      </c>
      <c r="K79" s="165">
        <v>12</v>
      </c>
      <c r="L79" s="166" t="s">
        <v>50</v>
      </c>
      <c r="M79" s="165">
        <f t="shared" ref="M79:M80" si="11">ROUND((G79*I79*K79),2)</f>
        <v>447300</v>
      </c>
      <c r="N79" s="166" t="s">
        <v>41</v>
      </c>
      <c r="O79" s="167">
        <f>ROUNDDOWN((M79),-2)</f>
        <v>447300</v>
      </c>
      <c r="P79" s="168" t="s">
        <v>37</v>
      </c>
      <c r="Q79" s="166"/>
      <c r="R79" s="171"/>
      <c r="S79" s="545"/>
      <c r="T79" s="545"/>
      <c r="U79" s="545"/>
      <c r="V79" s="170"/>
      <c r="W79" s="267" t="str">
        <f>""&amp;TEXT(G79,"000,00")&amp;" шт.ед. х норматив "&amp;TEXT(I79,"0,00")&amp;" руб. х "&amp;TEXT(K79,"00,0")&amp;" мес.  = "&amp;TEXT(M79,"0 000,00")&amp;" руб. = "&amp;TEXT(O79,"0 000,00")&amp;" руб."</f>
        <v>213,00 шт.ед. х норматив 175,00 руб. х 12,0 мес.  = 447 300,00 руб. = 447 300,00 руб.</v>
      </c>
    </row>
    <row r="80" spans="1:23" ht="15" x14ac:dyDescent="0.25">
      <c r="A80" s="567"/>
      <c r="B80" s="541"/>
      <c r="C80" s="170"/>
      <c r="D80" s="543"/>
      <c r="E80" s="543"/>
      <c r="F80" s="164" t="s">
        <v>226</v>
      </c>
      <c r="G80" s="165">
        <v>213</v>
      </c>
      <c r="H80" s="166" t="s">
        <v>48</v>
      </c>
      <c r="I80" s="165">
        <v>182</v>
      </c>
      <c r="J80" s="166" t="s">
        <v>49</v>
      </c>
      <c r="K80" s="165">
        <v>12</v>
      </c>
      <c r="L80" s="166" t="s">
        <v>50</v>
      </c>
      <c r="M80" s="165">
        <f t="shared" si="11"/>
        <v>465192</v>
      </c>
      <c r="N80" s="166" t="s">
        <v>41</v>
      </c>
      <c r="O80" s="167">
        <f>ROUNDDOWN((M80),-2)</f>
        <v>465100</v>
      </c>
      <c r="P80" s="168" t="s">
        <v>37</v>
      </c>
      <c r="Q80" s="166"/>
      <c r="R80" s="171"/>
      <c r="S80" s="545"/>
      <c r="T80" s="545"/>
      <c r="U80" s="545"/>
      <c r="V80" s="170"/>
      <c r="W80" s="267" t="str">
        <f>""&amp;TEXT(G80,"000,00")&amp;" шт.ед. х норматив "&amp;TEXT(I80,"0,00")&amp;" руб. х "&amp;TEXT(K80,"00,0")&amp;" мес.  = "&amp;TEXT(M80,"0 000,00")&amp;" руб. = "&amp;TEXT(O80,"0 000,00")&amp;" руб."</f>
        <v>213,00 шт.ед. х норматив 182,00 руб. х 12,0 мес.  = 465 192,00 руб. = 465 100,00 руб.</v>
      </c>
    </row>
    <row r="81" spans="1:23" ht="59.25" customHeight="1" x14ac:dyDescent="0.25">
      <c r="A81" s="177" t="s">
        <v>30</v>
      </c>
      <c r="B81" s="266" t="s">
        <v>281</v>
      </c>
      <c r="C81" s="158"/>
      <c r="D81" s="159" t="s">
        <v>35</v>
      </c>
      <c r="E81" s="159" t="s">
        <v>35</v>
      </c>
      <c r="F81" s="557"/>
      <c r="G81" s="557"/>
      <c r="H81" s="557"/>
      <c r="I81" s="557"/>
      <c r="J81" s="557"/>
      <c r="K81" s="557"/>
      <c r="L81" s="557"/>
      <c r="M81" s="557"/>
      <c r="N81" s="557"/>
      <c r="O81" s="557"/>
      <c r="P81" s="557"/>
      <c r="Q81" s="557"/>
      <c r="R81" s="557"/>
      <c r="S81" s="265">
        <f>SUM(S82,S87)</f>
        <v>27000</v>
      </c>
      <c r="T81" s="265">
        <f>SUM(T82,T87)</f>
        <v>25500</v>
      </c>
      <c r="U81" s="265">
        <f>SUM(U82,U87)</f>
        <v>29300</v>
      </c>
      <c r="V81" s="52"/>
      <c r="W81" s="161" t="str">
        <f>"Нормативные "&amp;TEXT(B81,"0")&amp;" включают в себя:
нормативные "&amp;TEXT(B82,"0")&amp;";   нормативные "&amp;TEXT(B87,"0")&amp;""</f>
        <v>Нормативные затраты на проведение  осмотра водителей транспортных средств включают в себя:
нормативные затраты на проведение периодического медицинского осмотра;   нормативные затраты на проведение предрейсового медицинского осмотра</v>
      </c>
    </row>
    <row r="82" spans="1:23" ht="105" collapsed="1" x14ac:dyDescent="0.25">
      <c r="A82" s="383" t="s">
        <v>125</v>
      </c>
      <c r="B82" s="553" t="s">
        <v>106</v>
      </c>
      <c r="C82" s="180"/>
      <c r="D82" s="555">
        <v>226</v>
      </c>
      <c r="E82" s="555">
        <v>244</v>
      </c>
      <c r="F82" s="557" t="s">
        <v>268</v>
      </c>
      <c r="G82" s="557"/>
      <c r="H82" s="557"/>
      <c r="I82" s="557"/>
      <c r="J82" s="557"/>
      <c r="K82" s="557"/>
      <c r="L82" s="557"/>
      <c r="M82" s="557"/>
      <c r="N82" s="557"/>
      <c r="O82" s="557"/>
      <c r="P82" s="557"/>
      <c r="Q82" s="557"/>
      <c r="R82" s="557"/>
      <c r="S82" s="550">
        <f>O84</f>
        <v>2500</v>
      </c>
      <c r="T82" s="550">
        <f>O85</f>
        <v>0</v>
      </c>
      <c r="U82" s="550">
        <f>O86</f>
        <v>2800</v>
      </c>
      <c r="V82" s="64"/>
      <c r="W82" s="161" t="s">
        <v>282</v>
      </c>
    </row>
    <row r="83" spans="1:23" ht="15" hidden="1" outlineLevel="1" x14ac:dyDescent="0.25">
      <c r="A83" s="383"/>
      <c r="B83" s="554"/>
      <c r="C83" s="180"/>
      <c r="D83" s="556"/>
      <c r="E83" s="560"/>
      <c r="F83" s="181"/>
      <c r="G83" s="182">
        <v>1</v>
      </c>
      <c r="H83" s="183" t="s">
        <v>66</v>
      </c>
      <c r="I83" s="182">
        <v>1</v>
      </c>
      <c r="J83" s="183" t="s">
        <v>73</v>
      </c>
      <c r="K83" s="182">
        <f>ROUNDUP((2500/1),2)</f>
        <v>2500</v>
      </c>
      <c r="L83" s="183" t="s">
        <v>41</v>
      </c>
      <c r="M83" s="182">
        <f>G83*I83*K83</f>
        <v>2500</v>
      </c>
      <c r="N83" s="183" t="s">
        <v>37</v>
      </c>
      <c r="O83" s="184"/>
      <c r="P83" s="185"/>
      <c r="Q83" s="186"/>
      <c r="R83" s="181"/>
      <c r="S83" s="550"/>
      <c r="T83" s="550"/>
      <c r="U83" s="550"/>
      <c r="V83" s="64"/>
      <c r="W83" s="161"/>
    </row>
    <row r="84" spans="1:23" ht="15" x14ac:dyDescent="0.25">
      <c r="A84" s="383"/>
      <c r="B84" s="554"/>
      <c r="C84" s="180"/>
      <c r="D84" s="556"/>
      <c r="E84" s="560"/>
      <c r="F84" s="187" t="s">
        <v>151</v>
      </c>
      <c r="G84" s="182">
        <v>1</v>
      </c>
      <c r="H84" s="188" t="s">
        <v>66</v>
      </c>
      <c r="I84" s="182">
        <v>1</v>
      </c>
      <c r="J84" s="188" t="s">
        <v>283</v>
      </c>
      <c r="K84" s="189">
        <f>ROUNDUP(K83*(1.04-1.04+1),2)</f>
        <v>2500</v>
      </c>
      <c r="L84" s="183" t="s">
        <v>41</v>
      </c>
      <c r="M84" s="182">
        <f>G84*I84*K84</f>
        <v>2500</v>
      </c>
      <c r="N84" s="183" t="s">
        <v>41</v>
      </c>
      <c r="O84" s="190">
        <f>ROUNDUP((M84),-2)</f>
        <v>2500</v>
      </c>
      <c r="P84" s="191" t="s">
        <v>37</v>
      </c>
      <c r="Q84" s="192"/>
      <c r="R84" s="181"/>
      <c r="S84" s="550"/>
      <c r="T84" s="550"/>
      <c r="U84" s="550"/>
      <c r="V84" s="64"/>
      <c r="W84" s="161" t="str">
        <f>""&amp;TEXT(G84,"0,0")&amp;" чел. х "&amp;TEXT(I84,"0,0")&amp;" раз х "&amp;TEXT(ROUND((M84/I84/G84),2),"0,00")&amp;" руб. = "&amp;TEXT(ROUND((G84*I84*(ROUND((M84/I84/G84),2))),2),"0 000,00")&amp;" руб. = "&amp;TEXT(O84,"0 000,00")&amp;" руб."</f>
        <v>1,0 чел. х 1,0 раз х 2500,00 руб. = 2 500,00 руб. = 2 500,00 руб.</v>
      </c>
    </row>
    <row r="85" spans="1:23" ht="15" outlineLevel="1" collapsed="1" x14ac:dyDescent="0.25">
      <c r="A85" s="383"/>
      <c r="B85" s="554"/>
      <c r="C85" s="180"/>
      <c r="D85" s="556"/>
      <c r="E85" s="560"/>
      <c r="F85" s="187" t="s">
        <v>193</v>
      </c>
      <c r="G85" s="182">
        <v>0</v>
      </c>
      <c r="H85" s="183" t="str">
        <f>H84</f>
        <v>чел. х</v>
      </c>
      <c r="I85" s="182">
        <v>0</v>
      </c>
      <c r="J85" s="183" t="str">
        <f>J84</f>
        <v>раз х средняя цена с индексом потребительских цен</v>
      </c>
      <c r="K85" s="189">
        <f>ROUNDUP(K84*(1.041),2)</f>
        <v>2602.5</v>
      </c>
      <c r="L85" s="183" t="s">
        <v>41</v>
      </c>
      <c r="M85" s="182">
        <f>G85*I85*K85</f>
        <v>0</v>
      </c>
      <c r="N85" s="183" t="s">
        <v>41</v>
      </c>
      <c r="O85" s="190">
        <f>ROUNDUP((M85),-2)</f>
        <v>0</v>
      </c>
      <c r="P85" s="191" t="s">
        <v>37</v>
      </c>
      <c r="Q85" s="192"/>
      <c r="R85" s="181"/>
      <c r="S85" s="550"/>
      <c r="T85" s="550"/>
      <c r="U85" s="550"/>
      <c r="V85" s="64"/>
      <c r="W85" s="161" t="e">
        <f t="shared" ref="W85:W86" si="12">""&amp;TEXT(G85,"0,0")&amp;" чел. х "&amp;TEXT(I85,"0,0")&amp;" раз х "&amp;TEXT(ROUND((M85/I85/G85),2),"0,00")&amp;" руб. = "&amp;TEXT(ROUND((G85*I85*(ROUND((M85/I85/G85),2))),2),"0 000,00")&amp;" руб. = "&amp;TEXT(O85,"0 000,00")&amp;" руб."</f>
        <v>#DIV/0!</v>
      </c>
    </row>
    <row r="86" spans="1:23" ht="15" x14ac:dyDescent="0.25">
      <c r="A86" s="383"/>
      <c r="B86" s="554"/>
      <c r="C86" s="180"/>
      <c r="D86" s="556"/>
      <c r="E86" s="560"/>
      <c r="F86" s="187" t="s">
        <v>226</v>
      </c>
      <c r="G86" s="182">
        <v>1</v>
      </c>
      <c r="H86" s="183" t="str">
        <f>H84</f>
        <v>чел. х</v>
      </c>
      <c r="I86" s="182">
        <v>1</v>
      </c>
      <c r="J86" s="183" t="str">
        <f>J84</f>
        <v>раз х средняя цена с индексом потребительских цен</v>
      </c>
      <c r="K86" s="189">
        <f>ROUNDUP(K85*(1.041),2)</f>
        <v>2709.21</v>
      </c>
      <c r="L86" s="183" t="s">
        <v>41</v>
      </c>
      <c r="M86" s="182">
        <f t="shared" ref="M86" si="13">G86*I86*K86</f>
        <v>2709.21</v>
      </c>
      <c r="N86" s="183" t="s">
        <v>41</v>
      </c>
      <c r="O86" s="190">
        <f>ROUNDUP((M86),-2)</f>
        <v>2800</v>
      </c>
      <c r="P86" s="191" t="s">
        <v>37</v>
      </c>
      <c r="Q86" s="192"/>
      <c r="R86" s="181"/>
      <c r="S86" s="550"/>
      <c r="T86" s="550"/>
      <c r="U86" s="550"/>
      <c r="V86" s="64"/>
      <c r="W86" s="161" t="str">
        <f t="shared" si="12"/>
        <v>1,0 чел. х 1,0 раз х 2709,21 руб. = 2 709,21 руб. = 2 800,00 руб.</v>
      </c>
    </row>
    <row r="87" spans="1:23" ht="105" collapsed="1" x14ac:dyDescent="0.25">
      <c r="A87" s="383" t="s">
        <v>126</v>
      </c>
      <c r="B87" s="553" t="s">
        <v>107</v>
      </c>
      <c r="C87" s="180"/>
      <c r="D87" s="555">
        <v>226</v>
      </c>
      <c r="E87" s="555">
        <v>244</v>
      </c>
      <c r="F87" s="557" t="s">
        <v>268</v>
      </c>
      <c r="G87" s="557"/>
      <c r="H87" s="557"/>
      <c r="I87" s="557"/>
      <c r="J87" s="557"/>
      <c r="K87" s="557"/>
      <c r="L87" s="557"/>
      <c r="M87" s="557"/>
      <c r="N87" s="557"/>
      <c r="O87" s="557"/>
      <c r="P87" s="557"/>
      <c r="Q87" s="557"/>
      <c r="R87" s="557"/>
      <c r="S87" s="550">
        <f>O89</f>
        <v>24500</v>
      </c>
      <c r="T87" s="550">
        <f>O90</f>
        <v>25500</v>
      </c>
      <c r="U87" s="550">
        <f>O91</f>
        <v>26500</v>
      </c>
      <c r="V87" s="64"/>
      <c r="W87" s="161" t="s">
        <v>284</v>
      </c>
    </row>
    <row r="88" spans="1:23" ht="15" hidden="1" outlineLevel="1" x14ac:dyDescent="0.25">
      <c r="A88" s="383"/>
      <c r="B88" s="554"/>
      <c r="C88" s="180"/>
      <c r="D88" s="556"/>
      <c r="E88" s="560"/>
      <c r="F88" s="181"/>
      <c r="G88" s="182">
        <v>1</v>
      </c>
      <c r="H88" s="183" t="s">
        <v>66</v>
      </c>
      <c r="I88" s="182">
        <v>222</v>
      </c>
      <c r="J88" s="183" t="s">
        <v>73</v>
      </c>
      <c r="K88" s="182">
        <f>ROUNDUP((24420/222),2)</f>
        <v>110</v>
      </c>
      <c r="L88" s="183" t="s">
        <v>41</v>
      </c>
      <c r="M88" s="182">
        <f>G88*I88*K88</f>
        <v>24420</v>
      </c>
      <c r="N88" s="183" t="s">
        <v>37</v>
      </c>
      <c r="O88" s="184"/>
      <c r="P88" s="185"/>
      <c r="Q88" s="186"/>
      <c r="R88" s="181"/>
      <c r="S88" s="550"/>
      <c r="T88" s="550"/>
      <c r="U88" s="550"/>
      <c r="V88" s="64"/>
      <c r="W88" s="161"/>
    </row>
    <row r="89" spans="1:23" ht="15" x14ac:dyDescent="0.25">
      <c r="A89" s="383"/>
      <c r="B89" s="554"/>
      <c r="C89" s="180"/>
      <c r="D89" s="556"/>
      <c r="E89" s="560"/>
      <c r="F89" s="187" t="s">
        <v>151</v>
      </c>
      <c r="G89" s="182">
        <v>1</v>
      </c>
      <c r="H89" s="188" t="s">
        <v>66</v>
      </c>
      <c r="I89" s="182">
        <v>222</v>
      </c>
      <c r="J89" s="188" t="s">
        <v>283</v>
      </c>
      <c r="K89" s="189">
        <f>ROUNDUP(K88*(1.04-1.04+1),2)</f>
        <v>110</v>
      </c>
      <c r="L89" s="183" t="s">
        <v>41</v>
      </c>
      <c r="M89" s="182">
        <f>G89*I89*K89</f>
        <v>24420</v>
      </c>
      <c r="N89" s="183" t="s">
        <v>41</v>
      </c>
      <c r="O89" s="190">
        <f>ROUNDUP((M89),-2)</f>
        <v>24500</v>
      </c>
      <c r="P89" s="191" t="s">
        <v>37</v>
      </c>
      <c r="Q89" s="192"/>
      <c r="R89" s="181"/>
      <c r="S89" s="550"/>
      <c r="T89" s="550"/>
      <c r="U89" s="550"/>
      <c r="V89" s="64"/>
      <c r="W89" s="161" t="str">
        <f>""&amp;TEXT(G89,"0,0")&amp;" чел. х "&amp;TEXT(I89,"0,0")&amp;" раз х "&amp;TEXT(ROUND((M89/I89/G89),2),"0,00")&amp;" руб. = "&amp;TEXT(ROUND((G89*I89*(ROUND((M89/I89/G89),2))),2),"0 000,00")&amp;" руб. = "&amp;TEXT(O89,"0 000,00")&amp;" руб."</f>
        <v>1,0 чел. х 222,0 раз х 110,00 руб. = 24 420,00 руб. = 24 500,00 руб.</v>
      </c>
    </row>
    <row r="90" spans="1:23" ht="15" x14ac:dyDescent="0.25">
      <c r="A90" s="383"/>
      <c r="B90" s="554"/>
      <c r="C90" s="180"/>
      <c r="D90" s="556"/>
      <c r="E90" s="560"/>
      <c r="F90" s="187" t="s">
        <v>193</v>
      </c>
      <c r="G90" s="182">
        <v>1</v>
      </c>
      <c r="H90" s="183" t="str">
        <f>H89</f>
        <v>чел. х</v>
      </c>
      <c r="I90" s="182">
        <v>222</v>
      </c>
      <c r="J90" s="183" t="str">
        <f>J89</f>
        <v>раз х средняя цена с индексом потребительских цен</v>
      </c>
      <c r="K90" s="189">
        <f>ROUNDUP(K89*(1.041),2)</f>
        <v>114.51</v>
      </c>
      <c r="L90" s="183" t="s">
        <v>41</v>
      </c>
      <c r="M90" s="182">
        <f>G90*I90*K90</f>
        <v>25421.22</v>
      </c>
      <c r="N90" s="183" t="s">
        <v>41</v>
      </c>
      <c r="O90" s="190">
        <f>ROUNDUP((M90),-2)</f>
        <v>25500</v>
      </c>
      <c r="P90" s="191" t="s">
        <v>37</v>
      </c>
      <c r="Q90" s="192"/>
      <c r="R90" s="181"/>
      <c r="S90" s="550"/>
      <c r="T90" s="550"/>
      <c r="U90" s="550"/>
      <c r="V90" s="64"/>
      <c r="W90" s="161" t="str">
        <f t="shared" ref="W90:W91" si="14">""&amp;TEXT(G90,"0,0")&amp;" чел. х "&amp;TEXT(I90,"0,0")&amp;" раз х "&amp;TEXT(ROUND((M90/I90/G90),2),"0,00")&amp;" руб. = "&amp;TEXT(ROUND((G90*I90*(ROUND((M90/I90/G90),2))),2),"0 000,00")&amp;" руб. = "&amp;TEXT(O90,"0 000,00")&amp;" руб."</f>
        <v>1,0 чел. х 222,0 раз х 114,51 руб. = 25 421,22 руб. = 25 500,00 руб.</v>
      </c>
    </row>
    <row r="91" spans="1:23" ht="15" x14ac:dyDescent="0.25">
      <c r="A91" s="383"/>
      <c r="B91" s="554"/>
      <c r="C91" s="180"/>
      <c r="D91" s="556"/>
      <c r="E91" s="560"/>
      <c r="F91" s="187" t="s">
        <v>226</v>
      </c>
      <c r="G91" s="182">
        <v>1</v>
      </c>
      <c r="H91" s="183" t="str">
        <f>H89</f>
        <v>чел. х</v>
      </c>
      <c r="I91" s="182">
        <v>222</v>
      </c>
      <c r="J91" s="183" t="str">
        <f>J89</f>
        <v>раз х средняя цена с индексом потребительских цен</v>
      </c>
      <c r="K91" s="189">
        <f>ROUNDUP(K90*(1.041),2)</f>
        <v>119.21000000000001</v>
      </c>
      <c r="L91" s="183" t="s">
        <v>41</v>
      </c>
      <c r="M91" s="182">
        <f t="shared" ref="M91" si="15">G91*I91*K91</f>
        <v>26464.620000000003</v>
      </c>
      <c r="N91" s="183" t="s">
        <v>41</v>
      </c>
      <c r="O91" s="190">
        <f>ROUNDUP((M91),-2)</f>
        <v>26500</v>
      </c>
      <c r="P91" s="191" t="s">
        <v>37</v>
      </c>
      <c r="Q91" s="192"/>
      <c r="R91" s="181"/>
      <c r="S91" s="550"/>
      <c r="T91" s="550"/>
      <c r="U91" s="550"/>
      <c r="V91" s="64"/>
      <c r="W91" s="161" t="str">
        <f t="shared" si="14"/>
        <v>1,0 чел. х 222,0 раз х 119,21 руб. = 26 464,62 руб. = 26 500,00 руб.</v>
      </c>
    </row>
    <row r="92" spans="1:23" ht="90" collapsed="1" x14ac:dyDescent="0.25">
      <c r="A92" s="383" t="s">
        <v>31</v>
      </c>
      <c r="B92" s="553" t="s">
        <v>285</v>
      </c>
      <c r="C92" s="64"/>
      <c r="D92" s="555">
        <v>226</v>
      </c>
      <c r="E92" s="555">
        <v>244</v>
      </c>
      <c r="F92" s="557" t="s">
        <v>268</v>
      </c>
      <c r="G92" s="557"/>
      <c r="H92" s="557"/>
      <c r="I92" s="557"/>
      <c r="J92" s="557"/>
      <c r="K92" s="557"/>
      <c r="L92" s="557"/>
      <c r="M92" s="557"/>
      <c r="N92" s="557"/>
      <c r="O92" s="557"/>
      <c r="P92" s="557"/>
      <c r="Q92" s="557"/>
      <c r="R92" s="557"/>
      <c r="S92" s="550">
        <f>M94</f>
        <v>105200</v>
      </c>
      <c r="T92" s="550">
        <f>M95</f>
        <v>109500</v>
      </c>
      <c r="U92" s="550">
        <f>M96</f>
        <v>114100</v>
      </c>
      <c r="V92" s="64"/>
      <c r="W92" s="161" t="s">
        <v>286</v>
      </c>
    </row>
    <row r="93" spans="1:23" ht="15" hidden="1" outlineLevel="1" x14ac:dyDescent="0.25">
      <c r="A93" s="383"/>
      <c r="B93" s="554"/>
      <c r="C93" s="64"/>
      <c r="D93" s="556"/>
      <c r="E93" s="560"/>
      <c r="F93" s="181"/>
      <c r="G93" s="182">
        <v>8760</v>
      </c>
      <c r="H93" s="183" t="s">
        <v>287</v>
      </c>
      <c r="I93" s="182">
        <f>ROUNDUP((105120/8760),2)</f>
        <v>12</v>
      </c>
      <c r="J93" s="183" t="s">
        <v>41</v>
      </c>
      <c r="K93" s="182">
        <f>ROUND((G93*I93),2)</f>
        <v>105120</v>
      </c>
      <c r="L93" s="183" t="s">
        <v>37</v>
      </c>
      <c r="M93" s="183"/>
      <c r="N93" s="183"/>
      <c r="O93" s="183"/>
      <c r="P93" s="183"/>
      <c r="Q93" s="183"/>
      <c r="R93" s="188"/>
      <c r="S93" s="550"/>
      <c r="T93" s="550"/>
      <c r="U93" s="550"/>
      <c r="V93" s="64"/>
      <c r="W93" s="161"/>
    </row>
    <row r="94" spans="1:23" ht="15" x14ac:dyDescent="0.25">
      <c r="A94" s="383"/>
      <c r="B94" s="554"/>
      <c r="C94" s="64"/>
      <c r="D94" s="556"/>
      <c r="E94" s="560"/>
      <c r="F94" s="187" t="s">
        <v>151</v>
      </c>
      <c r="G94" s="182">
        <v>8760</v>
      </c>
      <c r="H94" s="188" t="s">
        <v>288</v>
      </c>
      <c r="I94" s="189">
        <f>ROUNDUP(I93*(1.04-1.04+1),2)</f>
        <v>12</v>
      </c>
      <c r="J94" s="183" t="s">
        <v>41</v>
      </c>
      <c r="K94" s="182">
        <f>G94*I94</f>
        <v>105120</v>
      </c>
      <c r="L94" s="183" t="s">
        <v>41</v>
      </c>
      <c r="M94" s="190">
        <f>ROUNDUP((K94),-2)</f>
        <v>105200</v>
      </c>
      <c r="N94" s="191" t="s">
        <v>37</v>
      </c>
      <c r="O94" s="190"/>
      <c r="P94" s="192"/>
      <c r="Q94" s="192"/>
      <c r="R94" s="192"/>
      <c r="S94" s="550"/>
      <c r="T94" s="550"/>
      <c r="U94" s="550"/>
      <c r="V94" s="64"/>
      <c r="W94" s="161" t="str">
        <f>""&amp;TEXT(G94,"0,0")&amp;" час. х "&amp;TEXT(ROUND((K94/G94),2),"0,00")&amp;" руб. = "&amp;TEXT(ROUND((G94*(ROUND((K94/G94),2))),2),"0 000,00")&amp;" руб. = "&amp;TEXT(M94,"0 000,00")&amp;" руб."</f>
        <v>8760,0 час. х 12,00 руб. = 105 120,00 руб. = 105 200,00 руб.</v>
      </c>
    </row>
    <row r="95" spans="1:23" ht="15" x14ac:dyDescent="0.25">
      <c r="A95" s="383"/>
      <c r="B95" s="554"/>
      <c r="C95" s="64"/>
      <c r="D95" s="556"/>
      <c r="E95" s="560"/>
      <c r="F95" s="187" t="s">
        <v>193</v>
      </c>
      <c r="G95" s="182">
        <v>8760</v>
      </c>
      <c r="H95" s="183" t="str">
        <f>H94</f>
        <v>час. х средняя цена с индексом потребительских цен</v>
      </c>
      <c r="I95" s="189">
        <f>ROUNDUP(I94*(1.041),2)</f>
        <v>12.5</v>
      </c>
      <c r="J95" s="183" t="s">
        <v>41</v>
      </c>
      <c r="K95" s="182">
        <f t="shared" ref="K95:K96" si="16">G95*I95</f>
        <v>109500</v>
      </c>
      <c r="L95" s="183" t="s">
        <v>41</v>
      </c>
      <c r="M95" s="190">
        <f>ROUNDUP((K95),-2)</f>
        <v>109500</v>
      </c>
      <c r="N95" s="191" t="s">
        <v>37</v>
      </c>
      <c r="O95" s="190"/>
      <c r="P95" s="192"/>
      <c r="Q95" s="192"/>
      <c r="R95" s="192"/>
      <c r="S95" s="550"/>
      <c r="T95" s="550"/>
      <c r="U95" s="550"/>
      <c r="V95" s="64"/>
      <c r="W95" s="161" t="str">
        <f>""&amp;TEXT(G95,"0,0")&amp;" час. х "&amp;TEXT(ROUND((K95/G95),2),"0,00")&amp;" руб. = "&amp;TEXT(ROUND((G95*(ROUND((K95/G95),2))),2),"0 000,00")&amp;" руб. = "&amp;TEXT(M95,"0 000,00")&amp;" руб."</f>
        <v>8760,0 час. х 12,50 руб. = 109 500,00 руб. = 109 500,00 руб.</v>
      </c>
    </row>
    <row r="96" spans="1:23" ht="15" x14ac:dyDescent="0.25">
      <c r="A96" s="383"/>
      <c r="B96" s="554"/>
      <c r="C96" s="64"/>
      <c r="D96" s="556"/>
      <c r="E96" s="560"/>
      <c r="F96" s="187" t="s">
        <v>226</v>
      </c>
      <c r="G96" s="182">
        <v>8760</v>
      </c>
      <c r="H96" s="183" t="str">
        <f>H94</f>
        <v>час. х средняя цена с индексом потребительских цен</v>
      </c>
      <c r="I96" s="189">
        <f>ROUNDUP(I95*(1.041),2)</f>
        <v>13.02</v>
      </c>
      <c r="J96" s="183" t="s">
        <v>41</v>
      </c>
      <c r="K96" s="182">
        <f t="shared" si="16"/>
        <v>114055.2</v>
      </c>
      <c r="L96" s="183" t="s">
        <v>41</v>
      </c>
      <c r="M96" s="190">
        <f>ROUNDUP((K96),-2)</f>
        <v>114100</v>
      </c>
      <c r="N96" s="191" t="s">
        <v>37</v>
      </c>
      <c r="O96" s="190"/>
      <c r="P96" s="192"/>
      <c r="Q96" s="192"/>
      <c r="R96" s="192"/>
      <c r="S96" s="550"/>
      <c r="T96" s="550"/>
      <c r="U96" s="550"/>
      <c r="V96" s="64"/>
      <c r="W96" s="161" t="str">
        <f>""&amp;TEXT(G96,"0,0")&amp;" час. х "&amp;TEXT(ROUND((K96/G96),2),"0,00")&amp;" руб. = "&amp;TEXT(ROUND((G96*(ROUND((K96/G96),2))),2),"0 000,00")&amp;" руб. = "&amp;TEXT(M96,"0 000,00")&amp;" руб."</f>
        <v>8760,0 час. х 13,02 руб. = 114 055,20 руб. = 114 100,00 руб.</v>
      </c>
    </row>
    <row r="97" spans="1:24" ht="90" collapsed="1" x14ac:dyDescent="0.25">
      <c r="A97" s="383" t="s">
        <v>131</v>
      </c>
      <c r="B97" s="553" t="s">
        <v>289</v>
      </c>
      <c r="C97" s="180"/>
      <c r="D97" s="555">
        <v>227</v>
      </c>
      <c r="E97" s="555">
        <v>244</v>
      </c>
      <c r="F97" s="557" t="s">
        <v>268</v>
      </c>
      <c r="G97" s="557"/>
      <c r="H97" s="557"/>
      <c r="I97" s="557"/>
      <c r="J97" s="557"/>
      <c r="K97" s="557"/>
      <c r="L97" s="557"/>
      <c r="M97" s="557"/>
      <c r="N97" s="557"/>
      <c r="O97" s="557"/>
      <c r="P97" s="557"/>
      <c r="Q97" s="557"/>
      <c r="R97" s="557"/>
      <c r="S97" s="550">
        <f>M99</f>
        <v>10000</v>
      </c>
      <c r="T97" s="550">
        <f>M100</f>
        <v>10400</v>
      </c>
      <c r="U97" s="550">
        <f>M101</f>
        <v>10800</v>
      </c>
      <c r="V97" s="64"/>
      <c r="W97" s="161" t="s">
        <v>290</v>
      </c>
    </row>
    <row r="98" spans="1:24" ht="15" hidden="1" outlineLevel="1" x14ac:dyDescent="0.25">
      <c r="A98" s="383"/>
      <c r="B98" s="554"/>
      <c r="C98" s="180"/>
      <c r="D98" s="556"/>
      <c r="E98" s="560"/>
      <c r="F98" s="181"/>
      <c r="G98" s="182">
        <v>1</v>
      </c>
      <c r="H98" s="183" t="s">
        <v>231</v>
      </c>
      <c r="I98" s="182">
        <f>ROUNDUP((9941.97/1),2)</f>
        <v>9941.9699999999993</v>
      </c>
      <c r="J98" s="183" t="s">
        <v>41</v>
      </c>
      <c r="K98" s="182">
        <f>ROUND((G98*I98),2)</f>
        <v>9941.9699999999993</v>
      </c>
      <c r="L98" s="183" t="s">
        <v>37</v>
      </c>
      <c r="M98" s="183"/>
      <c r="N98" s="183"/>
      <c r="O98" s="183"/>
      <c r="P98" s="183"/>
      <c r="Q98" s="183"/>
      <c r="R98" s="188"/>
      <c r="S98" s="550"/>
      <c r="T98" s="550"/>
      <c r="U98" s="550"/>
      <c r="V98" s="64"/>
      <c r="W98" s="161"/>
    </row>
    <row r="99" spans="1:24" ht="15" x14ac:dyDescent="0.25">
      <c r="A99" s="383"/>
      <c r="B99" s="554"/>
      <c r="C99" s="180"/>
      <c r="D99" s="556"/>
      <c r="E99" s="560"/>
      <c r="F99" s="187" t="s">
        <v>151</v>
      </c>
      <c r="G99" s="182">
        <v>1</v>
      </c>
      <c r="H99" s="188" t="s">
        <v>271</v>
      </c>
      <c r="I99" s="189">
        <f>ROUNDUP(I98*(1.04-1.04+1),2)</f>
        <v>9941.9699999999993</v>
      </c>
      <c r="J99" s="183" t="s">
        <v>41</v>
      </c>
      <c r="K99" s="182">
        <f>G99*I99</f>
        <v>9941.9699999999993</v>
      </c>
      <c r="L99" s="183" t="s">
        <v>41</v>
      </c>
      <c r="M99" s="190">
        <f>ROUNDUP((K99),-2)</f>
        <v>10000</v>
      </c>
      <c r="N99" s="191" t="s">
        <v>37</v>
      </c>
      <c r="O99" s="190"/>
      <c r="P99" s="192"/>
      <c r="Q99" s="192"/>
      <c r="R99" s="192"/>
      <c r="S99" s="550"/>
      <c r="T99" s="550"/>
      <c r="U99" s="550"/>
      <c r="V99" s="64"/>
      <c r="W99" s="161" t="str">
        <f>""&amp;TEXT(G99,"0,0")&amp;" ед. х "&amp;TEXT(ROUND((K99/G99),2),"0,00")&amp;" руб. = "&amp;TEXT(ROUND((G99*(ROUND((K99/G99),2))),2),"0 000,00")&amp;" руб. = "&amp;TEXT(M99,"0 000,00")&amp;" руб."</f>
        <v>1,0 ед. х 9941,97 руб. = 9 941,97 руб. = 10 000,00 руб.</v>
      </c>
    </row>
    <row r="100" spans="1:24" ht="15" x14ac:dyDescent="0.25">
      <c r="A100" s="383"/>
      <c r="B100" s="554"/>
      <c r="C100" s="180"/>
      <c r="D100" s="556"/>
      <c r="E100" s="560"/>
      <c r="F100" s="187" t="s">
        <v>193</v>
      </c>
      <c r="G100" s="182">
        <v>1</v>
      </c>
      <c r="H100" s="183" t="str">
        <f>H99</f>
        <v>ед. х средняя цена с индексом потребительских цен</v>
      </c>
      <c r="I100" s="189">
        <f>ROUNDUP(I99*(1.041),2)</f>
        <v>10349.6</v>
      </c>
      <c r="J100" s="183" t="s">
        <v>41</v>
      </c>
      <c r="K100" s="182">
        <f t="shared" ref="K100:K101" si="17">G100*I100</f>
        <v>10349.6</v>
      </c>
      <c r="L100" s="183" t="s">
        <v>41</v>
      </c>
      <c r="M100" s="190">
        <f>ROUNDUP((K100),-2)</f>
        <v>10400</v>
      </c>
      <c r="N100" s="191" t="s">
        <v>37</v>
      </c>
      <c r="O100" s="190"/>
      <c r="P100" s="192"/>
      <c r="Q100" s="192"/>
      <c r="R100" s="192"/>
      <c r="S100" s="550"/>
      <c r="T100" s="550"/>
      <c r="U100" s="550"/>
      <c r="V100" s="64"/>
      <c r="W100" s="161" t="str">
        <f t="shared" ref="W100:W101" si="18">""&amp;TEXT(G100,"0,0")&amp;" ед. х "&amp;TEXT(ROUND((K100/G100),2),"0,00")&amp;" руб. = "&amp;TEXT(ROUND((G100*(ROUND((K100/G100),2))),2),"0 000,00")&amp;" руб. = "&amp;TEXT(M100,"0 000,00")&amp;" руб."</f>
        <v>1,0 ед. х 10349,60 руб. = 10 349,60 руб. = 10 400,00 руб.</v>
      </c>
    </row>
    <row r="101" spans="1:24" s="95" customFormat="1" ht="15" x14ac:dyDescent="0.25">
      <c r="A101" s="383"/>
      <c r="B101" s="554"/>
      <c r="C101" s="180"/>
      <c r="D101" s="556"/>
      <c r="E101" s="560"/>
      <c r="F101" s="187" t="s">
        <v>226</v>
      </c>
      <c r="G101" s="182">
        <v>1</v>
      </c>
      <c r="H101" s="183" t="str">
        <f>H99</f>
        <v>ед. х средняя цена с индексом потребительских цен</v>
      </c>
      <c r="I101" s="189">
        <f>ROUNDUP(I100*(1.041),2)</f>
        <v>10773.94</v>
      </c>
      <c r="J101" s="183" t="s">
        <v>41</v>
      </c>
      <c r="K101" s="182">
        <f t="shared" si="17"/>
        <v>10773.94</v>
      </c>
      <c r="L101" s="183" t="s">
        <v>41</v>
      </c>
      <c r="M101" s="190">
        <f>ROUNDUP((K101),-2)</f>
        <v>10800</v>
      </c>
      <c r="N101" s="191" t="s">
        <v>37</v>
      </c>
      <c r="O101" s="190"/>
      <c r="P101" s="192"/>
      <c r="Q101" s="192"/>
      <c r="R101" s="192"/>
      <c r="S101" s="550"/>
      <c r="T101" s="550"/>
      <c r="U101" s="550"/>
      <c r="V101" s="64"/>
      <c r="W101" s="161" t="str">
        <f t="shared" si="18"/>
        <v>1,0 ед. х 10773,94 руб. = 10 773,94 руб. = 10 800,00 руб.</v>
      </c>
      <c r="X101" s="94"/>
    </row>
    <row r="102" spans="1:24" s="95" customFormat="1" ht="95.25" customHeight="1" x14ac:dyDescent="0.25">
      <c r="A102" s="221" t="s">
        <v>14</v>
      </c>
      <c r="B102" s="222" t="s">
        <v>101</v>
      </c>
      <c r="C102" s="158"/>
      <c r="D102" s="159" t="s">
        <v>35</v>
      </c>
      <c r="E102" s="159" t="s">
        <v>35</v>
      </c>
      <c r="F102" s="538"/>
      <c r="G102" s="539"/>
      <c r="H102" s="539"/>
      <c r="I102" s="539"/>
      <c r="J102" s="539"/>
      <c r="K102" s="539"/>
      <c r="L102" s="539"/>
      <c r="M102" s="539"/>
      <c r="N102" s="539"/>
      <c r="O102" s="539"/>
      <c r="P102" s="539"/>
      <c r="Q102" s="539"/>
      <c r="R102" s="539"/>
      <c r="S102" s="223">
        <f>SUM(S103,S107,S112,S117)</f>
        <v>3035300</v>
      </c>
      <c r="T102" s="223">
        <f>SUM(T103,T107,T112,T117)</f>
        <v>3217100</v>
      </c>
      <c r="U102" s="223">
        <f>SUM(U103,U107,U112,U117)</f>
        <v>3289500</v>
      </c>
      <c r="V102" s="52"/>
      <c r="W102" s="224" t="str">
        <f>"Нормативные "&amp;TEXT(B102,"0")&amp;" включают в себя:
нормативные "&amp;TEXT(B103,"0")&amp;";   нормативные "&amp;TEXT(B107,"0")&amp;";
нормативные "&amp;TEXT(B112,"0")&amp;";   нормативные "&amp;TEXT(B117,"0")&amp;""</f>
        <v>Нормативные затраты на приобретение основных средств включают в себя:
нормативные затраты на приобретение комплекта мебели;   нормативные затраты на приобретение систем кондиционирования;
нормативные затраты на приобретение огнетушителей;   нормативные затраты на приобретение прочих основных средств</v>
      </c>
    </row>
    <row r="103" spans="1:24" s="95" customFormat="1" ht="123.75" customHeight="1" x14ac:dyDescent="0.25">
      <c r="A103" s="388" t="s">
        <v>15</v>
      </c>
      <c r="B103" s="568" t="s">
        <v>291</v>
      </c>
      <c r="C103" s="170"/>
      <c r="D103" s="571">
        <v>310</v>
      </c>
      <c r="E103" s="571">
        <v>244</v>
      </c>
      <c r="F103" s="574" t="s">
        <v>53</v>
      </c>
      <c r="G103" s="575"/>
      <c r="H103" s="575"/>
      <c r="I103" s="575"/>
      <c r="J103" s="575"/>
      <c r="K103" s="575"/>
      <c r="L103" s="575"/>
      <c r="M103" s="575"/>
      <c r="N103" s="575"/>
      <c r="O103" s="575"/>
      <c r="P103" s="575"/>
      <c r="Q103" s="575"/>
      <c r="R103" s="576"/>
      <c r="S103" s="577">
        <f>Q104</f>
        <v>1118300</v>
      </c>
      <c r="T103" s="577">
        <f>Q105</f>
        <v>1164400</v>
      </c>
      <c r="U103" s="577">
        <f>Q106</f>
        <v>1212100</v>
      </c>
      <c r="V103" s="170"/>
      <c r="W103" s="267" t="s">
        <v>54</v>
      </c>
    </row>
    <row r="104" spans="1:24" s="95" customFormat="1" ht="15" x14ac:dyDescent="0.25">
      <c r="A104" s="389"/>
      <c r="B104" s="569"/>
      <c r="C104" s="170"/>
      <c r="D104" s="572"/>
      <c r="E104" s="572"/>
      <c r="F104" s="164" t="s">
        <v>159</v>
      </c>
      <c r="G104" s="165">
        <v>42004</v>
      </c>
      <c r="H104" s="166" t="s">
        <v>42</v>
      </c>
      <c r="I104" s="165">
        <v>213</v>
      </c>
      <c r="J104" s="166" t="s">
        <v>45</v>
      </c>
      <c r="K104" s="165">
        <v>8</v>
      </c>
      <c r="L104" s="166" t="s">
        <v>43</v>
      </c>
      <c r="M104" s="165">
        <v>0</v>
      </c>
      <c r="N104" s="166" t="s">
        <v>44</v>
      </c>
      <c r="O104" s="165">
        <f>ROUND((G104*(I104/K104+M104)),2)</f>
        <v>1118356.5</v>
      </c>
      <c r="P104" s="166" t="s">
        <v>41</v>
      </c>
      <c r="Q104" s="167">
        <f>ROUNDDOWN((O104),-2)</f>
        <v>1118300</v>
      </c>
      <c r="R104" s="168" t="s">
        <v>37</v>
      </c>
      <c r="S104" s="578"/>
      <c r="T104" s="578"/>
      <c r="U104" s="578"/>
      <c r="V104" s="170"/>
      <c r="W104" s="267" t="str">
        <f>"норматив "&amp;TEXT(G104,"0 000,00")&amp;" руб. х ("&amp;TEXT(I104,"0,00")&amp;" шт.ед. : срок "&amp;TEXT(K104,"0")&amp;" лет + "&amp;TEXT(M104,"0,00")&amp;" шт.ед.) = "&amp;TEXT(O104,"0 000,00")&amp;" руб. = "&amp;TEXT(Q104,"0 000,00")&amp;" руб."</f>
        <v>норматив 42 004,00 руб. х (213,00 шт.ед. : срок 8 лет + 0,00 шт.ед.) = 1 118 356,50 руб. = 1 118 300,00 руб.</v>
      </c>
      <c r="X104" s="94"/>
    </row>
    <row r="105" spans="1:24" s="95" customFormat="1" ht="15" x14ac:dyDescent="0.25">
      <c r="A105" s="389"/>
      <c r="B105" s="569"/>
      <c r="C105" s="170"/>
      <c r="D105" s="572"/>
      <c r="E105" s="572"/>
      <c r="F105" s="164" t="s">
        <v>194</v>
      </c>
      <c r="G105" s="165">
        <v>43735</v>
      </c>
      <c r="H105" s="166" t="s">
        <v>42</v>
      </c>
      <c r="I105" s="165">
        <v>213</v>
      </c>
      <c r="J105" s="166" t="s">
        <v>45</v>
      </c>
      <c r="K105" s="165">
        <v>8</v>
      </c>
      <c r="L105" s="166" t="s">
        <v>43</v>
      </c>
      <c r="M105" s="165">
        <v>0</v>
      </c>
      <c r="N105" s="166" t="s">
        <v>44</v>
      </c>
      <c r="O105" s="165">
        <f>ROUND((G105*(I105/K105+M105)),2)</f>
        <v>1164444.3799999999</v>
      </c>
      <c r="P105" s="166" t="s">
        <v>41</v>
      </c>
      <c r="Q105" s="167">
        <f>ROUNDDOWN((O105),-2)</f>
        <v>1164400</v>
      </c>
      <c r="R105" s="168" t="s">
        <v>37</v>
      </c>
      <c r="S105" s="578"/>
      <c r="T105" s="578"/>
      <c r="U105" s="578"/>
      <c r="V105" s="170"/>
      <c r="W105" s="267" t="str">
        <f>"норматив "&amp;TEXT(G105,"0 000,00")&amp;" руб. х ("&amp;TEXT(I105,"0,00")&amp;" шт.ед. : срок "&amp;TEXT(K105,"0")&amp;" лет + "&amp;TEXT(M105,"0,00")&amp;" шт.ед.) = "&amp;TEXT(O105,"0 000,00")&amp;" руб. = "&amp;TEXT(Q105,"0 000,00")&amp;" руб."</f>
        <v>норматив 43 735,00 руб. х (213,00 шт.ед. : срок 8 лет + 0,00 шт.ед.) = 1 164 444,38 руб. = 1 164 400,00 руб.</v>
      </c>
      <c r="X105" s="94"/>
    </row>
    <row r="106" spans="1:24" s="95" customFormat="1" ht="15" x14ac:dyDescent="0.25">
      <c r="A106" s="390"/>
      <c r="B106" s="570"/>
      <c r="C106" s="170"/>
      <c r="D106" s="573"/>
      <c r="E106" s="573"/>
      <c r="F106" s="164" t="s">
        <v>292</v>
      </c>
      <c r="G106" s="165">
        <v>45528</v>
      </c>
      <c r="H106" s="166" t="s">
        <v>42</v>
      </c>
      <c r="I106" s="165">
        <v>213</v>
      </c>
      <c r="J106" s="166" t="s">
        <v>45</v>
      </c>
      <c r="K106" s="165">
        <v>8</v>
      </c>
      <c r="L106" s="166" t="s">
        <v>43</v>
      </c>
      <c r="M106" s="165">
        <v>0</v>
      </c>
      <c r="N106" s="166" t="s">
        <v>44</v>
      </c>
      <c r="O106" s="165">
        <f>ROUND((G106*(I106/K106+M106)),2)</f>
        <v>1212183</v>
      </c>
      <c r="P106" s="166" t="s">
        <v>41</v>
      </c>
      <c r="Q106" s="167">
        <f>ROUNDDOWN((O106),-2)</f>
        <v>1212100</v>
      </c>
      <c r="R106" s="168" t="s">
        <v>37</v>
      </c>
      <c r="S106" s="579"/>
      <c r="T106" s="579"/>
      <c r="U106" s="579"/>
      <c r="V106" s="170"/>
      <c r="W106" s="267" t="str">
        <f>"норматив "&amp;TEXT(G106,"0 000,00")&amp;" руб. х ("&amp;TEXT(I106,"0,00")&amp;" шт.ед. : срок "&amp;TEXT(K106,"0")&amp;" лет + "&amp;TEXT(M106,"0,00")&amp;" шт.ед.) = "&amp;TEXT(O106,"0 000,00")&amp;" руб. = "&amp;TEXT(Q106,"0 000,00")&amp;" руб."</f>
        <v>норматив 45 528,00 руб. х (213,00 шт.ед. : срок 8 лет + 0,00 шт.ед.) = 1 212 183,00 руб. = 1 212 100,00 руб.</v>
      </c>
    </row>
    <row r="107" spans="1:24" ht="90" x14ac:dyDescent="0.25">
      <c r="A107" s="388" t="s">
        <v>181</v>
      </c>
      <c r="B107" s="580" t="s">
        <v>147</v>
      </c>
      <c r="C107" s="180"/>
      <c r="D107" s="555">
        <v>310</v>
      </c>
      <c r="E107" s="555">
        <v>244</v>
      </c>
      <c r="F107" s="557" t="s">
        <v>237</v>
      </c>
      <c r="G107" s="557"/>
      <c r="H107" s="557"/>
      <c r="I107" s="557"/>
      <c r="J107" s="557"/>
      <c r="K107" s="557"/>
      <c r="L107" s="557"/>
      <c r="M107" s="557"/>
      <c r="N107" s="557"/>
      <c r="O107" s="557"/>
      <c r="P107" s="557"/>
      <c r="Q107" s="557"/>
      <c r="R107" s="557"/>
      <c r="S107" s="550">
        <f>M109</f>
        <v>1472800</v>
      </c>
      <c r="T107" s="550">
        <f>M110</f>
        <v>1533200</v>
      </c>
      <c r="U107" s="550">
        <f>M111</f>
        <v>1596100</v>
      </c>
      <c r="V107" s="64"/>
      <c r="W107" s="161" t="s">
        <v>293</v>
      </c>
    </row>
    <row r="108" spans="1:24" ht="20.25" customHeight="1" outlineLevel="1" x14ac:dyDescent="0.25">
      <c r="A108" s="389"/>
      <c r="B108" s="581"/>
      <c r="C108" s="180"/>
      <c r="D108" s="555"/>
      <c r="E108" s="555"/>
      <c r="F108" s="181"/>
      <c r="G108" s="182">
        <v>30</v>
      </c>
      <c r="H108" s="183" t="s">
        <v>78</v>
      </c>
      <c r="I108" s="182">
        <f>ROUNDUP((47204.04),2)</f>
        <v>47204.04</v>
      </c>
      <c r="J108" s="183" t="s">
        <v>41</v>
      </c>
      <c r="K108" s="182">
        <f>ROUND((G108*I108),2)</f>
        <v>1416121.2</v>
      </c>
      <c r="L108" s="183" t="s">
        <v>37</v>
      </c>
      <c r="M108" s="183"/>
      <c r="N108" s="183"/>
      <c r="O108" s="183"/>
      <c r="P108" s="183"/>
      <c r="Q108" s="183"/>
      <c r="R108" s="188"/>
      <c r="S108" s="550"/>
      <c r="T108" s="550"/>
      <c r="U108" s="550"/>
      <c r="V108" s="64"/>
      <c r="W108" s="184"/>
    </row>
    <row r="109" spans="1:24" ht="15" x14ac:dyDescent="0.25">
      <c r="A109" s="389"/>
      <c r="B109" s="582"/>
      <c r="C109" s="180"/>
      <c r="D109" s="584"/>
      <c r="E109" s="584"/>
      <c r="F109" s="187" t="s">
        <v>151</v>
      </c>
      <c r="G109" s="182">
        <v>30</v>
      </c>
      <c r="H109" s="188" t="s">
        <v>294</v>
      </c>
      <c r="I109" s="189">
        <f>ROUNDUP(I108*(1.04),2)</f>
        <v>49092.21</v>
      </c>
      <c r="J109" s="183" t="s">
        <v>41</v>
      </c>
      <c r="K109" s="182">
        <f>ROUND((G109*I109),2)</f>
        <v>1472766.3</v>
      </c>
      <c r="L109" s="183" t="s">
        <v>41</v>
      </c>
      <c r="M109" s="190">
        <f>ROUNDUP((K109),-2)</f>
        <v>1472800</v>
      </c>
      <c r="N109" s="191" t="s">
        <v>37</v>
      </c>
      <c r="O109" s="190"/>
      <c r="P109" s="192"/>
      <c r="Q109" s="192"/>
      <c r="R109" s="192"/>
      <c r="S109" s="550"/>
      <c r="T109" s="550"/>
      <c r="U109" s="550"/>
      <c r="V109" s="64"/>
      <c r="W109" s="161" t="str">
        <f>""&amp;TEXT(G109,"0,0")&amp;" шт. х "&amp;TEXT(ROUND((K109/G109),2),"0,00")&amp;" руб. = "&amp;TEXT(ROUND((G109*(ROUND((K109/G109),2))),2),"0 000,00")&amp;" руб. = "&amp;TEXT(M109,"0 000,00")&amp;" руб."</f>
        <v>30,0 шт. х 49092,21 руб. = 1 472 766,30 руб. = 1 472 800,00 руб.</v>
      </c>
    </row>
    <row r="110" spans="1:24" ht="15" outlineLevel="1" x14ac:dyDescent="0.25">
      <c r="A110" s="389"/>
      <c r="B110" s="582"/>
      <c r="C110" s="180"/>
      <c r="D110" s="584"/>
      <c r="E110" s="584"/>
      <c r="F110" s="187" t="s">
        <v>193</v>
      </c>
      <c r="G110" s="182">
        <v>30</v>
      </c>
      <c r="H110" s="183" t="str">
        <f>H109</f>
        <v>шт. х средняя цена с индексом потребительских цен</v>
      </c>
      <c r="I110" s="189">
        <f>ROUNDUP(I109*(1.041),2)</f>
        <v>51105</v>
      </c>
      <c r="J110" s="183" t="s">
        <v>41</v>
      </c>
      <c r="K110" s="182">
        <f t="shared" ref="K110:K111" si="19">ROUND((G110*I110),2)</f>
        <v>1533150</v>
      </c>
      <c r="L110" s="183" t="s">
        <v>41</v>
      </c>
      <c r="M110" s="190">
        <f t="shared" ref="M110:M111" si="20">ROUNDUP((K110),-2)</f>
        <v>1533200</v>
      </c>
      <c r="N110" s="191" t="s">
        <v>37</v>
      </c>
      <c r="O110" s="190"/>
      <c r="P110" s="192"/>
      <c r="Q110" s="192"/>
      <c r="R110" s="192"/>
      <c r="S110" s="550"/>
      <c r="T110" s="550"/>
      <c r="U110" s="550"/>
      <c r="V110" s="64"/>
      <c r="W110" s="161" t="str">
        <f>""&amp;TEXT(G110,"0,0")&amp;" шт. х "&amp;TEXT(ROUND((K110/G110),2),"0,00")&amp;" руб. = "&amp;TEXT(ROUND((G110*(ROUND((K110/G110),2))),2),"0 000,00")&amp;" руб. = "&amp;TEXT(M110,"0 000,00")&amp;" руб."</f>
        <v>30,0 шт. х 51105,00 руб. = 1 533 150,00 руб. = 1 533 200,00 руб.</v>
      </c>
    </row>
    <row r="111" spans="1:24" ht="15" outlineLevel="1" x14ac:dyDescent="0.25">
      <c r="A111" s="390"/>
      <c r="B111" s="583"/>
      <c r="C111" s="180"/>
      <c r="D111" s="584"/>
      <c r="E111" s="584"/>
      <c r="F111" s="187" t="s">
        <v>226</v>
      </c>
      <c r="G111" s="182">
        <v>30</v>
      </c>
      <c r="H111" s="183" t="str">
        <f>H109</f>
        <v>шт. х средняя цена с индексом потребительских цен</v>
      </c>
      <c r="I111" s="189">
        <f>ROUNDUP(I110*(1.041),2)</f>
        <v>53200.310000000005</v>
      </c>
      <c r="J111" s="183" t="s">
        <v>41</v>
      </c>
      <c r="K111" s="182">
        <f t="shared" si="19"/>
        <v>1596009.3</v>
      </c>
      <c r="L111" s="183" t="s">
        <v>41</v>
      </c>
      <c r="M111" s="190">
        <f t="shared" si="20"/>
        <v>1596100</v>
      </c>
      <c r="N111" s="191" t="s">
        <v>37</v>
      </c>
      <c r="O111" s="190"/>
      <c r="P111" s="192"/>
      <c r="Q111" s="192"/>
      <c r="R111" s="192"/>
      <c r="S111" s="550"/>
      <c r="T111" s="550"/>
      <c r="U111" s="550"/>
      <c r="V111" s="64"/>
      <c r="W111" s="161" t="str">
        <f>""&amp;TEXT(G111,"0,0")&amp;" шт. х "&amp;TEXT(ROUND((K111/G111),2),"0,00")&amp;" руб. = "&amp;TEXT(ROUND((G111*(ROUND((K111/G111),2))),2),"0 000,00")&amp;" руб. = "&amp;TEXT(M111,"0 000,00")&amp;" руб."</f>
        <v>30,0 шт. х 53200,31 руб. = 1 596 009,30 руб. = 1 596 100,00 руб.</v>
      </c>
    </row>
    <row r="112" spans="1:24" ht="90" collapsed="1" x14ac:dyDescent="0.25">
      <c r="A112" s="388" t="s">
        <v>173</v>
      </c>
      <c r="B112" s="580" t="s">
        <v>295</v>
      </c>
      <c r="C112" s="180"/>
      <c r="D112" s="555">
        <v>310</v>
      </c>
      <c r="E112" s="555">
        <v>244</v>
      </c>
      <c r="F112" s="557" t="s">
        <v>296</v>
      </c>
      <c r="G112" s="557"/>
      <c r="H112" s="557"/>
      <c r="I112" s="557"/>
      <c r="J112" s="557"/>
      <c r="K112" s="557"/>
      <c r="L112" s="557"/>
      <c r="M112" s="557"/>
      <c r="N112" s="557"/>
      <c r="O112" s="557"/>
      <c r="P112" s="557"/>
      <c r="Q112" s="557"/>
      <c r="R112" s="557"/>
      <c r="S112" s="550">
        <f>M114</f>
        <v>0</v>
      </c>
      <c r="T112" s="550">
        <f>M115</f>
        <v>57100</v>
      </c>
      <c r="U112" s="550">
        <f>M116</f>
        <v>0</v>
      </c>
      <c r="V112" s="64"/>
      <c r="W112" s="161" t="s">
        <v>297</v>
      </c>
    </row>
    <row r="113" spans="1:23" ht="15" hidden="1" outlineLevel="1" x14ac:dyDescent="0.25">
      <c r="A113" s="389"/>
      <c r="B113" s="581"/>
      <c r="C113" s="64"/>
      <c r="D113" s="555"/>
      <c r="E113" s="555"/>
      <c r="F113" s="181"/>
      <c r="G113" s="182">
        <v>61</v>
      </c>
      <c r="H113" s="183" t="s">
        <v>78</v>
      </c>
      <c r="I113" s="182">
        <f>ROUNDUP((57046.87/61),2)</f>
        <v>935.2</v>
      </c>
      <c r="J113" s="183" t="s">
        <v>41</v>
      </c>
      <c r="K113" s="182">
        <f>ROUND((G113*I113),2)</f>
        <v>57047.199999999997</v>
      </c>
      <c r="L113" s="183" t="s">
        <v>37</v>
      </c>
      <c r="M113" s="183"/>
      <c r="N113" s="183"/>
      <c r="O113" s="183"/>
      <c r="P113" s="183"/>
      <c r="Q113" s="183"/>
      <c r="R113" s="188"/>
      <c r="S113" s="550"/>
      <c r="T113" s="550"/>
      <c r="U113" s="550"/>
      <c r="V113" s="64"/>
      <c r="W113" s="184"/>
    </row>
    <row r="114" spans="1:23" ht="18" hidden="1" customHeight="1" outlineLevel="1" x14ac:dyDescent="0.25">
      <c r="A114" s="389"/>
      <c r="B114" s="582"/>
      <c r="C114" s="180"/>
      <c r="D114" s="584"/>
      <c r="E114" s="584"/>
      <c r="F114" s="187" t="s">
        <v>151</v>
      </c>
      <c r="G114" s="182">
        <v>9.9999999999999996E-83</v>
      </c>
      <c r="H114" s="188" t="s">
        <v>294</v>
      </c>
      <c r="I114" s="189">
        <f>ROUNDUP(I113*(1.04-1.04+1),2)</f>
        <v>935.2</v>
      </c>
      <c r="J114" s="183" t="s">
        <v>41</v>
      </c>
      <c r="K114" s="182">
        <f>ROUND((G114*I114),2)</f>
        <v>0</v>
      </c>
      <c r="L114" s="183" t="s">
        <v>41</v>
      </c>
      <c r="M114" s="190">
        <f>ROUNDUP((K114),-2)</f>
        <v>0</v>
      </c>
      <c r="N114" s="191" t="s">
        <v>37</v>
      </c>
      <c r="O114" s="190"/>
      <c r="P114" s="192"/>
      <c r="Q114" s="192"/>
      <c r="R114" s="192"/>
      <c r="S114" s="550"/>
      <c r="T114" s="550"/>
      <c r="U114" s="550"/>
      <c r="V114" s="64"/>
      <c r="W114" s="161" t="str">
        <f>""&amp;TEXT(G114,"0,0")&amp;" шт. х "&amp;TEXT(ROUND((K114/G114),2),"0,00")&amp;" руб. = "&amp;TEXT(ROUND((G114*(ROUND((K114/G114),2))),2),"0 000,00")&amp;" руб. = "&amp;TEXT(M114,"0 000,00")&amp;" руб."</f>
        <v>0,0 шт. х 0,00 руб. = 0 000,00 руб. = 0 000,00 руб.</v>
      </c>
    </row>
    <row r="115" spans="1:23" ht="21.75" customHeight="1" collapsed="1" x14ac:dyDescent="0.25">
      <c r="A115" s="389"/>
      <c r="B115" s="582"/>
      <c r="C115" s="180"/>
      <c r="D115" s="584"/>
      <c r="E115" s="584"/>
      <c r="F115" s="187" t="s">
        <v>193</v>
      </c>
      <c r="G115" s="182">
        <v>61</v>
      </c>
      <c r="H115" s="183" t="str">
        <f>H114</f>
        <v>шт. х средняя цена с индексом потребительских цен</v>
      </c>
      <c r="I115" s="189">
        <f>ROUNDUP(I114*(1.041-1.041+1),2)</f>
        <v>935.2</v>
      </c>
      <c r="J115" s="183" t="s">
        <v>41</v>
      </c>
      <c r="K115" s="182">
        <f t="shared" ref="K115:K116" si="21">ROUND((G115*I115),2)</f>
        <v>57047.199999999997</v>
      </c>
      <c r="L115" s="183" t="s">
        <v>41</v>
      </c>
      <c r="M115" s="190">
        <f t="shared" ref="M115:M116" si="22">ROUNDUP((K115),-2)</f>
        <v>57100</v>
      </c>
      <c r="N115" s="191" t="s">
        <v>37</v>
      </c>
      <c r="O115" s="190"/>
      <c r="P115" s="192"/>
      <c r="Q115" s="192"/>
      <c r="R115" s="192"/>
      <c r="S115" s="550"/>
      <c r="T115" s="550"/>
      <c r="U115" s="550"/>
      <c r="V115" s="64"/>
      <c r="W115" s="161" t="str">
        <f>""&amp;TEXT(G115,"0,0")&amp;" шт. х "&amp;TEXT(ROUND((K115/G115),2),"0,00")&amp;" руб. = "&amp;TEXT(ROUND((G115*(ROUND((K115/G115),2))),2),"0 000,00")&amp;" руб. = "&amp;TEXT(M115,"0 000,00")&amp;" руб."</f>
        <v>61,0 шт. х 935,20 руб. = 57 047,20 руб. = 57 100,00 руб.</v>
      </c>
    </row>
    <row r="116" spans="1:23" ht="2.25" hidden="1" customHeight="1" outlineLevel="1" x14ac:dyDescent="0.25">
      <c r="A116" s="390"/>
      <c r="B116" s="583"/>
      <c r="C116" s="180"/>
      <c r="D116" s="584"/>
      <c r="E116" s="584"/>
      <c r="F116" s="187" t="s">
        <v>226</v>
      </c>
      <c r="G116" s="182">
        <v>9.9999999999999996E-83</v>
      </c>
      <c r="H116" s="183" t="str">
        <f>H114</f>
        <v>шт. х средняя цена с индексом потребительских цен</v>
      </c>
      <c r="I116" s="189">
        <f>ROUNDUP(I115*(1.041),2)</f>
        <v>973.55</v>
      </c>
      <c r="J116" s="183" t="s">
        <v>41</v>
      </c>
      <c r="K116" s="182">
        <f t="shared" si="21"/>
        <v>0</v>
      </c>
      <c r="L116" s="183" t="s">
        <v>41</v>
      </c>
      <c r="M116" s="190">
        <f t="shared" si="22"/>
        <v>0</v>
      </c>
      <c r="N116" s="191" t="s">
        <v>37</v>
      </c>
      <c r="O116" s="190"/>
      <c r="P116" s="192"/>
      <c r="Q116" s="192"/>
      <c r="R116" s="192"/>
      <c r="S116" s="550"/>
      <c r="T116" s="550"/>
      <c r="U116" s="550"/>
      <c r="V116" s="64"/>
      <c r="W116" s="161" t="str">
        <f>""&amp;TEXT(G116,"0,0")&amp;" шт. х "&amp;TEXT(ROUND((K116/G116),2),"0,00")&amp;" руб. = "&amp;TEXT(ROUND((G116*(ROUND((K116/G116),2))),2),"0 000,00")&amp;" руб. = "&amp;TEXT(M116,"0 000,00")&amp;" руб."</f>
        <v>0,0 шт. х 0,00 руб. = 0 000,00 руб. = 0 000,00 руб.</v>
      </c>
    </row>
    <row r="117" spans="1:23" ht="90" x14ac:dyDescent="0.25">
      <c r="A117" s="388" t="s">
        <v>298</v>
      </c>
      <c r="B117" s="586" t="s">
        <v>299</v>
      </c>
      <c r="C117" s="180"/>
      <c r="D117" s="555">
        <v>310</v>
      </c>
      <c r="E117" s="555">
        <v>244</v>
      </c>
      <c r="F117" s="557" t="s">
        <v>268</v>
      </c>
      <c r="G117" s="557"/>
      <c r="H117" s="557"/>
      <c r="I117" s="557"/>
      <c r="J117" s="557"/>
      <c r="K117" s="557"/>
      <c r="L117" s="557"/>
      <c r="M117" s="557"/>
      <c r="N117" s="557"/>
      <c r="O117" s="557"/>
      <c r="P117" s="557"/>
      <c r="Q117" s="557"/>
      <c r="R117" s="557"/>
      <c r="S117" s="585">
        <f>M119</f>
        <v>444200</v>
      </c>
      <c r="T117" s="585">
        <f>M120</f>
        <v>462400</v>
      </c>
      <c r="U117" s="585">
        <f>M121</f>
        <v>481300</v>
      </c>
      <c r="V117" s="64"/>
      <c r="W117" s="161" t="s">
        <v>300</v>
      </c>
    </row>
    <row r="118" spans="1:23" ht="13.5" customHeight="1" outlineLevel="1" x14ac:dyDescent="0.25">
      <c r="A118" s="389"/>
      <c r="B118" s="587"/>
      <c r="C118" s="180"/>
      <c r="D118" s="584"/>
      <c r="E118" s="584"/>
      <c r="F118" s="181"/>
      <c r="G118" s="182">
        <v>1</v>
      </c>
      <c r="H118" s="183" t="s">
        <v>231</v>
      </c>
      <c r="I118" s="182">
        <v>444114.84</v>
      </c>
      <c r="J118" s="183" t="s">
        <v>41</v>
      </c>
      <c r="K118" s="182">
        <f>ROUND((G118*I118),2)</f>
        <v>444114.84</v>
      </c>
      <c r="L118" s="183" t="s">
        <v>37</v>
      </c>
      <c r="M118" s="183"/>
      <c r="N118" s="183"/>
      <c r="O118" s="183"/>
      <c r="P118" s="183"/>
      <c r="Q118" s="183"/>
      <c r="R118" s="188"/>
      <c r="S118" s="585"/>
      <c r="T118" s="585"/>
      <c r="U118" s="585"/>
      <c r="V118" s="64"/>
      <c r="W118" s="184"/>
    </row>
    <row r="119" spans="1:23" ht="15" x14ac:dyDescent="0.25">
      <c r="A119" s="389"/>
      <c r="B119" s="587"/>
      <c r="C119" s="180"/>
      <c r="D119" s="584"/>
      <c r="E119" s="584"/>
      <c r="F119" s="187" t="s">
        <v>151</v>
      </c>
      <c r="G119" s="182">
        <v>1</v>
      </c>
      <c r="H119" s="188" t="s">
        <v>271</v>
      </c>
      <c r="I119" s="189">
        <f>ROUNDUP(I118*(1),2)</f>
        <v>444114.84</v>
      </c>
      <c r="J119" s="183" t="s">
        <v>41</v>
      </c>
      <c r="K119" s="182">
        <f>ROUND((G119*I119),2)</f>
        <v>444114.84</v>
      </c>
      <c r="L119" s="183" t="s">
        <v>41</v>
      </c>
      <c r="M119" s="190">
        <f>ROUNDUP((K119),-2)</f>
        <v>444200</v>
      </c>
      <c r="N119" s="191" t="s">
        <v>37</v>
      </c>
      <c r="O119" s="190"/>
      <c r="P119" s="192"/>
      <c r="Q119" s="192"/>
      <c r="R119" s="192"/>
      <c r="S119" s="585"/>
      <c r="T119" s="585"/>
      <c r="U119" s="585"/>
      <c r="V119" s="64"/>
      <c r="W119" s="161" t="str">
        <f>""&amp;TEXT(G119,"0,0")&amp;" ед. х "&amp;TEXT(ROUND((K119/G119),2),"0,00")&amp;" руб. = "&amp;TEXT(ROUND((G119*(ROUND((K119/G119),2))),2),"0 000,00")&amp;" руб. = "&amp;TEXT(M119,"0 000,00")&amp;" руб."</f>
        <v>1,0 ед. х 444114,84 руб. = 444 114,84 руб. = 444 200,00 руб.</v>
      </c>
    </row>
    <row r="120" spans="1:23" ht="15" x14ac:dyDescent="0.25">
      <c r="A120" s="389"/>
      <c r="B120" s="587"/>
      <c r="C120" s="180"/>
      <c r="D120" s="584"/>
      <c r="E120" s="584"/>
      <c r="F120" s="187" t="s">
        <v>193</v>
      </c>
      <c r="G120" s="182">
        <v>1</v>
      </c>
      <c r="H120" s="183" t="str">
        <f>H119</f>
        <v>ед. х средняя цена с индексом потребительских цен</v>
      </c>
      <c r="I120" s="189">
        <f>ROUNDUP(I119*(1.041),2)</f>
        <v>462323.55</v>
      </c>
      <c r="J120" s="183" t="s">
        <v>41</v>
      </c>
      <c r="K120" s="182">
        <f t="shared" ref="K120:K121" si="23">ROUND((G120*I120),2)</f>
        <v>462323.55</v>
      </c>
      <c r="L120" s="183" t="s">
        <v>41</v>
      </c>
      <c r="M120" s="190">
        <f t="shared" ref="M120:M121" si="24">ROUNDUP((K120),-2)</f>
        <v>462400</v>
      </c>
      <c r="N120" s="191" t="s">
        <v>37</v>
      </c>
      <c r="O120" s="190"/>
      <c r="P120" s="192"/>
      <c r="Q120" s="192"/>
      <c r="R120" s="192"/>
      <c r="S120" s="585"/>
      <c r="T120" s="585"/>
      <c r="U120" s="585"/>
      <c r="V120" s="64"/>
      <c r="W120" s="161" t="str">
        <f>""&amp;TEXT(G120,"0,0")&amp;" ед. х "&amp;TEXT(ROUND((K120/G120),2),"0,00")&amp;" руб. = "&amp;TEXT(ROUND((G120*(ROUND((K120/G120),2))),2),"0 000,00")&amp;" руб. = "&amp;TEXT(M120,"0 000,00")&amp;" руб."</f>
        <v>1,0 ед. х 462323,55 руб. = 462 323,55 руб. = 462 400,00 руб.</v>
      </c>
    </row>
    <row r="121" spans="1:23" ht="15" x14ac:dyDescent="0.25">
      <c r="A121" s="390"/>
      <c r="B121" s="588"/>
      <c r="C121" s="180"/>
      <c r="D121" s="584"/>
      <c r="E121" s="584"/>
      <c r="F121" s="187" t="s">
        <v>226</v>
      </c>
      <c r="G121" s="182">
        <v>1</v>
      </c>
      <c r="H121" s="183" t="str">
        <f>H119</f>
        <v>ед. х средняя цена с индексом потребительских цен</v>
      </c>
      <c r="I121" s="189">
        <f>ROUNDUP(I120*(1.041),2)</f>
        <v>481278.82</v>
      </c>
      <c r="J121" s="183" t="s">
        <v>41</v>
      </c>
      <c r="K121" s="182">
        <f t="shared" si="23"/>
        <v>481278.82</v>
      </c>
      <c r="L121" s="183" t="s">
        <v>41</v>
      </c>
      <c r="M121" s="190">
        <f t="shared" si="24"/>
        <v>481300</v>
      </c>
      <c r="N121" s="191" t="s">
        <v>37</v>
      </c>
      <c r="O121" s="190"/>
      <c r="P121" s="192"/>
      <c r="Q121" s="192"/>
      <c r="R121" s="192"/>
      <c r="S121" s="585"/>
      <c r="T121" s="585"/>
      <c r="U121" s="585"/>
      <c r="V121" s="64"/>
      <c r="W121" s="161" t="str">
        <f>""&amp;TEXT(G121,"0,0")&amp;" ед. х "&amp;TEXT(ROUND((K121/G121),2),"0,00")&amp;" руб. = "&amp;TEXT(ROUND((G121*(ROUND((K121/G121),2))),2),"0 000,00")&amp;" руб. = "&amp;TEXT(M121,"0 000,00")&amp;" руб."</f>
        <v>1,0 ед. х 481278,82 руб. = 481 278,82 руб. = 481 300,00 руб.</v>
      </c>
    </row>
    <row r="122" spans="1:23" ht="118.5" customHeight="1" x14ac:dyDescent="0.25">
      <c r="A122" s="263" t="s">
        <v>16</v>
      </c>
      <c r="B122" s="269" t="s">
        <v>97</v>
      </c>
      <c r="C122" s="52"/>
      <c r="D122" s="270" t="s">
        <v>35</v>
      </c>
      <c r="E122" s="270" t="s">
        <v>35</v>
      </c>
      <c r="F122" s="423"/>
      <c r="G122" s="424"/>
      <c r="H122" s="424"/>
      <c r="I122" s="424"/>
      <c r="J122" s="424"/>
      <c r="K122" s="424"/>
      <c r="L122" s="424"/>
      <c r="M122" s="424"/>
      <c r="N122" s="424"/>
      <c r="O122" s="424"/>
      <c r="P122" s="424"/>
      <c r="Q122" s="424"/>
      <c r="R122" s="424"/>
      <c r="S122" s="217">
        <f>SUM(S123,S127,S132,S137,S142,S147,S152,S157,S162)</f>
        <v>4177200</v>
      </c>
      <c r="T122" s="217">
        <f>SUM(T123,T127,T132,T137,T142,T147,T152,T157,T162)</f>
        <v>4349100</v>
      </c>
      <c r="U122" s="217">
        <f>SUM(U123,U127,U132,U137,U142,U147,U152,U157,U162)</f>
        <v>4527700</v>
      </c>
      <c r="V122" s="52"/>
      <c r="W122" s="161" t="str">
        <f>"Нормативные "&amp;TEXT(B122,"0")&amp;" включают в себя:
нормативные "&amp;TEXT(B123,"0")&amp;";   нормативные "&amp;TEXT(B127,"0")&amp;";
нормативные "&amp;TEXT(B132,"0")&amp;";  нормативные "&amp;TEXT(B137,"0")&amp;";
нормативные "&amp;TEXT(B142,"0")&amp;";   нормативные "&amp;TEXT(B147,"0")&amp;";
нормативные "&amp;TEXT(B152,"0")&amp;";   нормативные "&amp;TEXT(B157,"0")&amp;";
нормативные "&amp;TEXT(B162,"0")&amp;""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набора канцелярских принадлежностей;   нормативные затраты на приобретение горюче-смазочных материалов;
нормативные затраты на приобретение противогазов;  нормативные затраты на приобретение комплектов индивидуальной медицинской гражданской защиты;
нормативные затраты на приобретение аптечки первой помощи;   нормативные затраты на приобретение  пакетов перевязочных индивидуальных;
нормативные затраты на приобретение индивидуальных противохимических пакетов;   нормативные затраты на приобретение запасных частей для мебели;
нормативные затраты на приобретение масок медицинских одноразовых</v>
      </c>
    </row>
    <row r="123" spans="1:23" ht="75" x14ac:dyDescent="0.25">
      <c r="A123" s="383" t="s">
        <v>17</v>
      </c>
      <c r="B123" s="540" t="s">
        <v>263</v>
      </c>
      <c r="C123" s="170"/>
      <c r="D123" s="542">
        <v>346</v>
      </c>
      <c r="E123" s="542">
        <v>244</v>
      </c>
      <c r="F123" s="544" t="s">
        <v>55</v>
      </c>
      <c r="G123" s="544"/>
      <c r="H123" s="544"/>
      <c r="I123" s="544"/>
      <c r="J123" s="544"/>
      <c r="K123" s="544"/>
      <c r="L123" s="544"/>
      <c r="M123" s="544"/>
      <c r="N123" s="544"/>
      <c r="O123" s="544"/>
      <c r="P123" s="544"/>
      <c r="Q123" s="544"/>
      <c r="R123" s="544"/>
      <c r="S123" s="545">
        <f>M124</f>
        <v>2672700</v>
      </c>
      <c r="T123" s="545">
        <f>M125</f>
        <v>2782800</v>
      </c>
      <c r="U123" s="545">
        <f>M126</f>
        <v>2897000</v>
      </c>
      <c r="V123" s="170"/>
      <c r="W123" s="267" t="s">
        <v>301</v>
      </c>
    </row>
    <row r="124" spans="1:23" ht="15" x14ac:dyDescent="0.25">
      <c r="A124" s="383"/>
      <c r="B124" s="541"/>
      <c r="C124" s="170"/>
      <c r="D124" s="543"/>
      <c r="E124" s="543"/>
      <c r="F124" s="164" t="s">
        <v>151</v>
      </c>
      <c r="G124" s="165">
        <v>213</v>
      </c>
      <c r="H124" s="166" t="s">
        <v>48</v>
      </c>
      <c r="I124" s="165">
        <v>12548</v>
      </c>
      <c r="J124" s="166" t="s">
        <v>41</v>
      </c>
      <c r="K124" s="165">
        <f>ROUND((G124*I124),2)</f>
        <v>2672724</v>
      </c>
      <c r="L124" s="166" t="s">
        <v>41</v>
      </c>
      <c r="M124" s="167">
        <f>ROUNDDOWN((K124),-2)</f>
        <v>2672700</v>
      </c>
      <c r="N124" s="168" t="s">
        <v>37</v>
      </c>
      <c r="O124" s="166"/>
      <c r="P124" s="166"/>
      <c r="Q124" s="166"/>
      <c r="R124" s="171"/>
      <c r="S124" s="545"/>
      <c r="T124" s="545"/>
      <c r="U124" s="545"/>
      <c r="V124" s="170"/>
      <c r="W124" s="267" t="str">
        <f>""&amp;TEXT(G124,"000,00")&amp;" шт.ед. х норматив "&amp;TEXT(I124,"0 000,00")&amp;" руб. = "&amp;TEXT(K124,"0 000,00")&amp;" руб. = "&amp;TEXT(M124,"0 000,00")&amp;" руб."</f>
        <v>213,00 шт.ед. х норматив 12 548,00 руб. = 2 672 724,00 руб. = 2 672 700,00 руб.</v>
      </c>
    </row>
    <row r="125" spans="1:23" ht="15" x14ac:dyDescent="0.25">
      <c r="A125" s="383"/>
      <c r="B125" s="541"/>
      <c r="C125" s="170"/>
      <c r="D125" s="543"/>
      <c r="E125" s="543"/>
      <c r="F125" s="164" t="s">
        <v>193</v>
      </c>
      <c r="G125" s="165">
        <v>213</v>
      </c>
      <c r="H125" s="166" t="s">
        <v>48</v>
      </c>
      <c r="I125" s="165">
        <v>13065</v>
      </c>
      <c r="J125" s="166" t="s">
        <v>41</v>
      </c>
      <c r="K125" s="165">
        <f t="shared" ref="K125:K126" si="25">ROUND((G125*I125),2)</f>
        <v>2782845</v>
      </c>
      <c r="L125" s="166" t="s">
        <v>41</v>
      </c>
      <c r="M125" s="167">
        <f t="shared" ref="M125:M126" si="26">ROUNDDOWN((K125),-2)</f>
        <v>2782800</v>
      </c>
      <c r="N125" s="168" t="s">
        <v>37</v>
      </c>
      <c r="O125" s="166"/>
      <c r="P125" s="166"/>
      <c r="Q125" s="166"/>
      <c r="R125" s="171"/>
      <c r="S125" s="545"/>
      <c r="T125" s="545"/>
      <c r="U125" s="545"/>
      <c r="V125" s="170"/>
      <c r="W125" s="267" t="str">
        <f t="shared" ref="W125:W126" si="27">""&amp;TEXT(G125,"000,00")&amp;" шт.ед. х норматив "&amp;TEXT(I125,"0 000,00")&amp;" руб. = "&amp;TEXT(K125,"0 000,00")&amp;" руб. = "&amp;TEXT(M125,"0 000,00")&amp;" руб."</f>
        <v>213,00 шт.ед. х норматив 13 065,00 руб. = 2 782 845,00 руб. = 2 782 800,00 руб.</v>
      </c>
    </row>
    <row r="126" spans="1:23" ht="15" x14ac:dyDescent="0.25">
      <c r="A126" s="383"/>
      <c r="B126" s="541"/>
      <c r="C126" s="170"/>
      <c r="D126" s="543"/>
      <c r="E126" s="543"/>
      <c r="F126" s="164" t="s">
        <v>226</v>
      </c>
      <c r="G126" s="165">
        <v>213</v>
      </c>
      <c r="H126" s="166" t="s">
        <v>48</v>
      </c>
      <c r="I126" s="165">
        <v>13601</v>
      </c>
      <c r="J126" s="166" t="s">
        <v>41</v>
      </c>
      <c r="K126" s="165">
        <f t="shared" si="25"/>
        <v>2897013</v>
      </c>
      <c r="L126" s="166" t="s">
        <v>41</v>
      </c>
      <c r="M126" s="167">
        <f t="shared" si="26"/>
        <v>2897000</v>
      </c>
      <c r="N126" s="168" t="s">
        <v>37</v>
      </c>
      <c r="O126" s="166"/>
      <c r="P126" s="166"/>
      <c r="Q126" s="166"/>
      <c r="R126" s="171"/>
      <c r="S126" s="545"/>
      <c r="T126" s="545"/>
      <c r="U126" s="545"/>
      <c r="V126" s="170"/>
      <c r="W126" s="267" t="str">
        <f t="shared" si="27"/>
        <v>213,00 шт.ед. х норматив 13 601,00 руб. = 2 897 013,00 руб. = 2 897 000,00 руб.</v>
      </c>
    </row>
    <row r="127" spans="1:23" s="227" customFormat="1" ht="90" x14ac:dyDescent="0.25">
      <c r="A127" s="589" t="s">
        <v>18</v>
      </c>
      <c r="B127" s="590" t="s">
        <v>100</v>
      </c>
      <c r="C127" s="225"/>
      <c r="D127" s="592">
        <v>343</v>
      </c>
      <c r="E127" s="592">
        <v>244</v>
      </c>
      <c r="F127" s="595" t="s">
        <v>268</v>
      </c>
      <c r="G127" s="596"/>
      <c r="H127" s="596"/>
      <c r="I127" s="596"/>
      <c r="J127" s="596"/>
      <c r="K127" s="596"/>
      <c r="L127" s="596"/>
      <c r="M127" s="596"/>
      <c r="N127" s="596"/>
      <c r="O127" s="596"/>
      <c r="P127" s="596"/>
      <c r="Q127" s="596"/>
      <c r="R127" s="597"/>
      <c r="S127" s="598">
        <f>M129</f>
        <v>39400</v>
      </c>
      <c r="T127" s="598">
        <f>M130</f>
        <v>41000</v>
      </c>
      <c r="U127" s="598">
        <f>M131</f>
        <v>42700</v>
      </c>
      <c r="V127" s="225"/>
      <c r="W127" s="226" t="s">
        <v>302</v>
      </c>
    </row>
    <row r="128" spans="1:23" s="227" customFormat="1" ht="17.25" customHeight="1" outlineLevel="1" x14ac:dyDescent="0.25">
      <c r="A128" s="589"/>
      <c r="B128" s="591"/>
      <c r="C128" s="225"/>
      <c r="D128" s="593"/>
      <c r="E128" s="594"/>
      <c r="F128" s="228"/>
      <c r="G128" s="229">
        <v>750</v>
      </c>
      <c r="H128" s="230" t="s">
        <v>303</v>
      </c>
      <c r="I128" s="229">
        <f>ROUNDUP((39375/750),2)</f>
        <v>52.5</v>
      </c>
      <c r="J128" s="230" t="s">
        <v>41</v>
      </c>
      <c r="K128" s="229">
        <f>ROUND((G128*I128),2)</f>
        <v>39375</v>
      </c>
      <c r="L128" s="230" t="s">
        <v>37</v>
      </c>
      <c r="M128" s="230"/>
      <c r="N128" s="230"/>
      <c r="O128" s="230"/>
      <c r="P128" s="230"/>
      <c r="Q128" s="230"/>
      <c r="R128" s="231"/>
      <c r="S128" s="599"/>
      <c r="T128" s="599"/>
      <c r="U128" s="599"/>
      <c r="V128" s="225"/>
      <c r="W128" s="226"/>
    </row>
    <row r="129" spans="1:23" s="227" customFormat="1" ht="15" x14ac:dyDescent="0.25">
      <c r="A129" s="589"/>
      <c r="B129" s="591"/>
      <c r="C129" s="225"/>
      <c r="D129" s="593"/>
      <c r="E129" s="594"/>
      <c r="F129" s="232" t="s">
        <v>151</v>
      </c>
      <c r="G129" s="229">
        <v>750</v>
      </c>
      <c r="H129" s="231" t="s">
        <v>304</v>
      </c>
      <c r="I129" s="233">
        <f>ROUNDUP(I128*(1.04-1.04+1),2)</f>
        <v>52.5</v>
      </c>
      <c r="J129" s="230" t="s">
        <v>41</v>
      </c>
      <c r="K129" s="229">
        <f>G129*I129</f>
        <v>39375</v>
      </c>
      <c r="L129" s="230" t="s">
        <v>41</v>
      </c>
      <c r="M129" s="234">
        <f>ROUNDUP((K129),-2)</f>
        <v>39400</v>
      </c>
      <c r="N129" s="235" t="s">
        <v>37</v>
      </c>
      <c r="O129" s="234"/>
      <c r="P129" s="236"/>
      <c r="Q129" s="236"/>
      <c r="R129" s="236"/>
      <c r="S129" s="599"/>
      <c r="T129" s="599"/>
      <c r="U129" s="599"/>
      <c r="V129" s="225"/>
      <c r="W129" s="226" t="str">
        <f>""&amp;TEXT(G129,"0,0")&amp;" л. х "&amp;TEXT(ROUND((K129/G129),2),"0,00")&amp;" руб. = "&amp;TEXT(ROUND((G129*(ROUND((K129/G129),2))),2),"0 000,00")&amp;" руб. = "&amp;TEXT(M129,"0 000,00")&amp;" руб."</f>
        <v>750,0 л. х 52,50 руб. = 39 375,00 руб. = 39 400,00 руб.</v>
      </c>
    </row>
    <row r="130" spans="1:23" s="227" customFormat="1" ht="15" x14ac:dyDescent="0.25">
      <c r="A130" s="589"/>
      <c r="B130" s="591"/>
      <c r="C130" s="225"/>
      <c r="D130" s="593"/>
      <c r="E130" s="594"/>
      <c r="F130" s="232" t="s">
        <v>193</v>
      </c>
      <c r="G130" s="229">
        <v>750</v>
      </c>
      <c r="H130" s="230" t="str">
        <f>H129</f>
        <v>л. х средняя цена с индексом потребительских цен =</v>
      </c>
      <c r="I130" s="233">
        <f>ROUNDUP(I129*(1.041),2)</f>
        <v>54.66</v>
      </c>
      <c r="J130" s="230" t="s">
        <v>41</v>
      </c>
      <c r="K130" s="229">
        <f t="shared" ref="K130:K131" si="28">G130*I130</f>
        <v>40995</v>
      </c>
      <c r="L130" s="230" t="s">
        <v>41</v>
      </c>
      <c r="M130" s="234">
        <f>ROUNDUP((K130),-2)</f>
        <v>41000</v>
      </c>
      <c r="N130" s="235" t="s">
        <v>37</v>
      </c>
      <c r="O130" s="234"/>
      <c r="P130" s="236"/>
      <c r="Q130" s="236"/>
      <c r="R130" s="236"/>
      <c r="S130" s="599"/>
      <c r="T130" s="599"/>
      <c r="U130" s="599"/>
      <c r="V130" s="225"/>
      <c r="W130" s="226" t="str">
        <f t="shared" ref="W130:W131" si="29">""&amp;TEXT(G130,"0,0")&amp;" л. х "&amp;TEXT(ROUND((K130/G130),2),"0,00")&amp;" руб. = "&amp;TEXT(ROUND((G130*(ROUND((K130/G130),2))),2),"0 000,00")&amp;" руб. = "&amp;TEXT(M130,"0 000,00")&amp;" руб."</f>
        <v>750,0 л. х 54,66 руб. = 40 995,00 руб. = 41 000,00 руб.</v>
      </c>
    </row>
    <row r="131" spans="1:23" s="227" customFormat="1" ht="15" x14ac:dyDescent="0.25">
      <c r="A131" s="589"/>
      <c r="B131" s="591"/>
      <c r="C131" s="225"/>
      <c r="D131" s="593"/>
      <c r="E131" s="594"/>
      <c r="F131" s="232" t="s">
        <v>226</v>
      </c>
      <c r="G131" s="229">
        <v>750</v>
      </c>
      <c r="H131" s="230" t="str">
        <f>H129</f>
        <v>л. х средняя цена с индексом потребительских цен =</v>
      </c>
      <c r="I131" s="233">
        <f>ROUNDUP(I130*(1.041),2)</f>
        <v>56.91</v>
      </c>
      <c r="J131" s="230" t="s">
        <v>41</v>
      </c>
      <c r="K131" s="229">
        <f t="shared" si="28"/>
        <v>42682.5</v>
      </c>
      <c r="L131" s="230" t="s">
        <v>41</v>
      </c>
      <c r="M131" s="234">
        <f>ROUNDUP((K131),-2)</f>
        <v>42700</v>
      </c>
      <c r="N131" s="235" t="s">
        <v>37</v>
      </c>
      <c r="O131" s="234"/>
      <c r="P131" s="236"/>
      <c r="Q131" s="236"/>
      <c r="R131" s="236"/>
      <c r="S131" s="600"/>
      <c r="T131" s="600"/>
      <c r="U131" s="600"/>
      <c r="V131" s="225"/>
      <c r="W131" s="226" t="str">
        <f t="shared" si="29"/>
        <v>750,0 л. х 56,91 руб. = 42 682,50 руб. = 42 700,00 руб.</v>
      </c>
    </row>
    <row r="132" spans="1:23" ht="90" x14ac:dyDescent="0.25">
      <c r="A132" s="383" t="s">
        <v>26</v>
      </c>
      <c r="B132" s="553" t="s">
        <v>305</v>
      </c>
      <c r="C132" s="180"/>
      <c r="D132" s="555">
        <v>345</v>
      </c>
      <c r="E132" s="555">
        <v>244</v>
      </c>
      <c r="F132" s="557" t="s">
        <v>268</v>
      </c>
      <c r="G132" s="557"/>
      <c r="H132" s="557"/>
      <c r="I132" s="557"/>
      <c r="J132" s="557"/>
      <c r="K132" s="557"/>
      <c r="L132" s="557"/>
      <c r="M132" s="557"/>
      <c r="N132" s="557"/>
      <c r="O132" s="557"/>
      <c r="P132" s="557"/>
      <c r="Q132" s="557"/>
      <c r="R132" s="557"/>
      <c r="S132" s="550">
        <f>M134</f>
        <v>776500</v>
      </c>
      <c r="T132" s="550">
        <f>M135</f>
        <v>808400</v>
      </c>
      <c r="U132" s="550">
        <f>M136</f>
        <v>841500</v>
      </c>
      <c r="V132" s="180"/>
      <c r="W132" s="161" t="s">
        <v>306</v>
      </c>
    </row>
    <row r="133" spans="1:23" ht="17.25" customHeight="1" outlineLevel="1" x14ac:dyDescent="0.25">
      <c r="A133" s="383"/>
      <c r="B133" s="554"/>
      <c r="C133" s="180"/>
      <c r="D133" s="556"/>
      <c r="E133" s="560"/>
      <c r="F133" s="181"/>
      <c r="G133" s="182">
        <v>224</v>
      </c>
      <c r="H133" s="183" t="s">
        <v>78</v>
      </c>
      <c r="I133" s="182">
        <f>ROUNDUP((776498.24/224),2)</f>
        <v>3466.51</v>
      </c>
      <c r="J133" s="183" t="s">
        <v>41</v>
      </c>
      <c r="K133" s="182">
        <f>ROUND((G133*I133),2)</f>
        <v>776498.24</v>
      </c>
      <c r="L133" s="183" t="s">
        <v>37</v>
      </c>
      <c r="M133" s="183"/>
      <c r="N133" s="183"/>
      <c r="O133" s="183"/>
      <c r="P133" s="183"/>
      <c r="Q133" s="183"/>
      <c r="R133" s="188"/>
      <c r="S133" s="550"/>
      <c r="T133" s="550"/>
      <c r="U133" s="550"/>
      <c r="V133" s="180"/>
      <c r="W133" s="161"/>
    </row>
    <row r="134" spans="1:23" ht="15" x14ac:dyDescent="0.25">
      <c r="A134" s="383"/>
      <c r="B134" s="554"/>
      <c r="C134" s="180"/>
      <c r="D134" s="556"/>
      <c r="E134" s="560"/>
      <c r="F134" s="187" t="s">
        <v>151</v>
      </c>
      <c r="G134" s="182">
        <v>224</v>
      </c>
      <c r="H134" s="188" t="s">
        <v>294</v>
      </c>
      <c r="I134" s="189">
        <f>ROUNDUP(I133*(1.04-1.04+1),2)</f>
        <v>3466.51</v>
      </c>
      <c r="J134" s="183" t="s">
        <v>41</v>
      </c>
      <c r="K134" s="182">
        <f>G134*I134</f>
        <v>776498.24</v>
      </c>
      <c r="L134" s="183" t="s">
        <v>41</v>
      </c>
      <c r="M134" s="190">
        <f>ROUNDUP((K134),-2)</f>
        <v>776500</v>
      </c>
      <c r="N134" s="191" t="s">
        <v>37</v>
      </c>
      <c r="O134" s="190"/>
      <c r="P134" s="192"/>
      <c r="Q134" s="192"/>
      <c r="R134" s="192"/>
      <c r="S134" s="550"/>
      <c r="T134" s="550"/>
      <c r="U134" s="550"/>
      <c r="V134" s="180"/>
      <c r="W134" s="161" t="str">
        <f>""&amp;TEXT(G134,"0,0")&amp;" шт. х "&amp;TEXT(ROUND((K134/G134),2),"0,00")&amp;" руб. = "&amp;TEXT(ROUND((G134*(ROUND((K134/G134),2))),2),"0 000,00")&amp;" руб. = "&amp;TEXT(M134,"0 000,00")&amp;" руб."</f>
        <v>224,0 шт. х 3466,51 руб. = 776 498,24 руб. = 776 500,00 руб.</v>
      </c>
    </row>
    <row r="135" spans="1:23" ht="15" x14ac:dyDescent="0.25">
      <c r="A135" s="383"/>
      <c r="B135" s="554"/>
      <c r="C135" s="180"/>
      <c r="D135" s="556"/>
      <c r="E135" s="560"/>
      <c r="F135" s="187" t="s">
        <v>193</v>
      </c>
      <c r="G135" s="182">
        <v>224</v>
      </c>
      <c r="H135" s="183" t="str">
        <f>H134</f>
        <v>шт. х средняя цена с индексом потребительских цен</v>
      </c>
      <c r="I135" s="189">
        <f>ROUNDUP(I134*(1.041),2)</f>
        <v>3608.6400000000003</v>
      </c>
      <c r="J135" s="183" t="s">
        <v>41</v>
      </c>
      <c r="K135" s="182">
        <f t="shared" ref="K135:K136" si="30">G135*I135</f>
        <v>808335.3600000001</v>
      </c>
      <c r="L135" s="183" t="s">
        <v>41</v>
      </c>
      <c r="M135" s="190">
        <f>ROUNDUP((K135),-2)</f>
        <v>808400</v>
      </c>
      <c r="N135" s="191" t="s">
        <v>37</v>
      </c>
      <c r="O135" s="190"/>
      <c r="P135" s="192"/>
      <c r="Q135" s="192"/>
      <c r="R135" s="192"/>
      <c r="S135" s="550"/>
      <c r="T135" s="550"/>
      <c r="U135" s="550"/>
      <c r="V135" s="180"/>
      <c r="W135" s="161" t="str">
        <f>""&amp;TEXT(G135,"0,0")&amp;" шт. х "&amp;TEXT(ROUND((K135/G135),2),"0,00")&amp;" руб. = "&amp;TEXT(ROUND((G135*(ROUND((K135/G135),2))),2),"0 000,00")&amp;" руб. = "&amp;TEXT(M135,"0 000,00")&amp;" руб."</f>
        <v>224,0 шт. х 3608,64 руб. = 808 335,36 руб. = 808 400,00 руб.</v>
      </c>
    </row>
    <row r="136" spans="1:23" ht="15" x14ac:dyDescent="0.25">
      <c r="A136" s="383"/>
      <c r="B136" s="554"/>
      <c r="C136" s="180"/>
      <c r="D136" s="556"/>
      <c r="E136" s="560"/>
      <c r="F136" s="187" t="s">
        <v>226</v>
      </c>
      <c r="G136" s="182">
        <v>224</v>
      </c>
      <c r="H136" s="183" t="str">
        <f>H134</f>
        <v>шт. х средняя цена с индексом потребительских цен</v>
      </c>
      <c r="I136" s="189">
        <f>ROUNDUP(I135*(1.041),2)</f>
        <v>3756.6000000000004</v>
      </c>
      <c r="J136" s="183" t="s">
        <v>41</v>
      </c>
      <c r="K136" s="182">
        <f t="shared" si="30"/>
        <v>841478.40000000014</v>
      </c>
      <c r="L136" s="183" t="s">
        <v>41</v>
      </c>
      <c r="M136" s="190">
        <f>ROUNDUP((K136),-2)</f>
        <v>841500</v>
      </c>
      <c r="N136" s="191" t="s">
        <v>37</v>
      </c>
      <c r="O136" s="190"/>
      <c r="P136" s="192"/>
      <c r="Q136" s="192"/>
      <c r="R136" s="192"/>
      <c r="S136" s="551"/>
      <c r="T136" s="551"/>
      <c r="U136" s="551"/>
      <c r="V136" s="180"/>
      <c r="W136" s="161" t="str">
        <f>""&amp;TEXT(G136,"0,0")&amp;" шт. х "&amp;TEXT(ROUND((K136/G136),2),"0,00")&amp;" руб. = "&amp;TEXT(ROUND((G136*(ROUND((K136/G136),2))),2),"0 000,00")&amp;" руб. = "&amp;TEXT(M136,"0 000,00")&amp;" руб."</f>
        <v>224,0 шт. х 3756,60 руб. = 841 478,40 руб. = 841 500,00 руб.</v>
      </c>
    </row>
    <row r="137" spans="1:23" ht="90" x14ac:dyDescent="0.25">
      <c r="A137" s="383" t="s">
        <v>200</v>
      </c>
      <c r="B137" s="553" t="s">
        <v>307</v>
      </c>
      <c r="C137" s="180"/>
      <c r="D137" s="555">
        <v>341</v>
      </c>
      <c r="E137" s="555">
        <v>244</v>
      </c>
      <c r="F137" s="557" t="s">
        <v>268</v>
      </c>
      <c r="G137" s="557"/>
      <c r="H137" s="557"/>
      <c r="I137" s="557"/>
      <c r="J137" s="557"/>
      <c r="K137" s="557"/>
      <c r="L137" s="557"/>
      <c r="M137" s="557"/>
      <c r="N137" s="557"/>
      <c r="O137" s="557"/>
      <c r="P137" s="557"/>
      <c r="Q137" s="557"/>
      <c r="R137" s="557"/>
      <c r="S137" s="550">
        <f>M139</f>
        <v>45600</v>
      </c>
      <c r="T137" s="550">
        <f>M140</f>
        <v>47500</v>
      </c>
      <c r="U137" s="550">
        <f>M141</f>
        <v>49400</v>
      </c>
      <c r="V137" s="180"/>
      <c r="W137" s="161" t="s">
        <v>308</v>
      </c>
    </row>
    <row r="138" spans="1:23" ht="17.25" customHeight="1" outlineLevel="1" x14ac:dyDescent="0.25">
      <c r="A138" s="383"/>
      <c r="B138" s="554"/>
      <c r="C138" s="180"/>
      <c r="D138" s="556"/>
      <c r="E138" s="560"/>
      <c r="F138" s="181"/>
      <c r="G138" s="182">
        <v>64</v>
      </c>
      <c r="H138" s="183" t="s">
        <v>78</v>
      </c>
      <c r="I138" s="182">
        <f>ROUNDUP((45557.76/64),2)</f>
        <v>711.84</v>
      </c>
      <c r="J138" s="183" t="s">
        <v>41</v>
      </c>
      <c r="K138" s="182">
        <f>ROUND((G138*I138),2)</f>
        <v>45557.760000000002</v>
      </c>
      <c r="L138" s="183" t="s">
        <v>37</v>
      </c>
      <c r="M138" s="183"/>
      <c r="N138" s="183"/>
      <c r="O138" s="183"/>
      <c r="P138" s="183"/>
      <c r="Q138" s="183"/>
      <c r="R138" s="188"/>
      <c r="S138" s="550"/>
      <c r="T138" s="550"/>
      <c r="U138" s="550"/>
      <c r="V138" s="180"/>
      <c r="W138" s="161"/>
    </row>
    <row r="139" spans="1:23" ht="15" x14ac:dyDescent="0.25">
      <c r="A139" s="383"/>
      <c r="B139" s="554"/>
      <c r="C139" s="180"/>
      <c r="D139" s="556"/>
      <c r="E139" s="560"/>
      <c r="F139" s="187" t="s">
        <v>151</v>
      </c>
      <c r="G139" s="182">
        <v>64</v>
      </c>
      <c r="H139" s="188" t="s">
        <v>294</v>
      </c>
      <c r="I139" s="189">
        <f>ROUNDUP(I138*(1.04-1.04+1),2)</f>
        <v>711.84</v>
      </c>
      <c r="J139" s="183" t="s">
        <v>41</v>
      </c>
      <c r="K139" s="182">
        <f>G139*I139</f>
        <v>45557.760000000002</v>
      </c>
      <c r="L139" s="183" t="s">
        <v>41</v>
      </c>
      <c r="M139" s="190">
        <f>ROUNDUP((K139),-2)</f>
        <v>45600</v>
      </c>
      <c r="N139" s="191" t="s">
        <v>37</v>
      </c>
      <c r="O139" s="190"/>
      <c r="P139" s="192"/>
      <c r="Q139" s="192"/>
      <c r="R139" s="192"/>
      <c r="S139" s="550"/>
      <c r="T139" s="550"/>
      <c r="U139" s="550"/>
      <c r="V139" s="180"/>
      <c r="W139" s="161" t="str">
        <f>""&amp;TEXT(G139,"0,0")&amp;" шт. х "&amp;TEXT(ROUND((K139/G139),2),"0,00")&amp;" руб. = "&amp;TEXT(ROUND((G139*(ROUND((K139/G139),2))),2),"0 000,00")&amp;" руб. = "&amp;TEXT(M139,"0 000,00")&amp;" руб."</f>
        <v>64,0 шт. х 711,84 руб. = 45 557,76 руб. = 45 600,00 руб.</v>
      </c>
    </row>
    <row r="140" spans="1:23" ht="15" x14ac:dyDescent="0.25">
      <c r="A140" s="383"/>
      <c r="B140" s="554"/>
      <c r="C140" s="180"/>
      <c r="D140" s="556"/>
      <c r="E140" s="560"/>
      <c r="F140" s="187" t="s">
        <v>193</v>
      </c>
      <c r="G140" s="182">
        <v>64</v>
      </c>
      <c r="H140" s="183" t="str">
        <f>H139</f>
        <v>шт. х средняя цена с индексом потребительских цен</v>
      </c>
      <c r="I140" s="189">
        <f>ROUNDUP(I139*(1.041),2)</f>
        <v>741.03</v>
      </c>
      <c r="J140" s="183" t="s">
        <v>41</v>
      </c>
      <c r="K140" s="182">
        <f t="shared" ref="K140:K141" si="31">G140*I140</f>
        <v>47425.919999999998</v>
      </c>
      <c r="L140" s="183" t="s">
        <v>41</v>
      </c>
      <c r="M140" s="190">
        <f>ROUNDUP((K140),-2)</f>
        <v>47500</v>
      </c>
      <c r="N140" s="191" t="s">
        <v>37</v>
      </c>
      <c r="O140" s="190"/>
      <c r="P140" s="192"/>
      <c r="Q140" s="192"/>
      <c r="R140" s="192"/>
      <c r="S140" s="550"/>
      <c r="T140" s="550"/>
      <c r="U140" s="550"/>
      <c r="V140" s="180"/>
      <c r="W140" s="161" t="str">
        <f>""&amp;TEXT(G140,"0,0")&amp;" шт. х "&amp;TEXT(ROUND((K140/G140),2),"0,00")&amp;" руб. = "&amp;TEXT(ROUND((G140*(ROUND((K140/G140),2))),2),"0 000,00")&amp;" руб. = "&amp;TEXT(M140,"0 000,00")&amp;" руб."</f>
        <v>64,0 шт. х 741,03 руб. = 47 425,92 руб. = 47 500,00 руб.</v>
      </c>
    </row>
    <row r="141" spans="1:23" ht="15" x14ac:dyDescent="0.25">
      <c r="A141" s="383"/>
      <c r="B141" s="554"/>
      <c r="C141" s="180"/>
      <c r="D141" s="556"/>
      <c r="E141" s="560"/>
      <c r="F141" s="187" t="s">
        <v>226</v>
      </c>
      <c r="G141" s="182">
        <v>64</v>
      </c>
      <c r="H141" s="183" t="str">
        <f>H139</f>
        <v>шт. х средняя цена с индексом потребительских цен</v>
      </c>
      <c r="I141" s="189">
        <f>ROUNDUP(I140*(1.041),2)</f>
        <v>771.42</v>
      </c>
      <c r="J141" s="183" t="s">
        <v>41</v>
      </c>
      <c r="K141" s="182">
        <f t="shared" si="31"/>
        <v>49370.879999999997</v>
      </c>
      <c r="L141" s="183" t="s">
        <v>41</v>
      </c>
      <c r="M141" s="190">
        <f>ROUNDUP((K141),-2)</f>
        <v>49400</v>
      </c>
      <c r="N141" s="191" t="s">
        <v>37</v>
      </c>
      <c r="O141" s="190"/>
      <c r="P141" s="192"/>
      <c r="Q141" s="192"/>
      <c r="R141" s="192"/>
      <c r="S141" s="551"/>
      <c r="T141" s="551"/>
      <c r="U141" s="551"/>
      <c r="V141" s="180"/>
      <c r="W141" s="161" t="str">
        <f>""&amp;TEXT(G141,"0,0")&amp;" шт. х "&amp;TEXT(ROUND((K141/G141),2),"0,00")&amp;" руб. = "&amp;TEXT(ROUND((G141*(ROUND((K141/G141),2))),2),"0 000,00")&amp;" руб. = "&amp;TEXT(M141,"0 000,00")&amp;" руб."</f>
        <v>64,0 шт. х 771,42 руб. = 49 370,88 руб. = 49 400,00 руб.</v>
      </c>
    </row>
    <row r="142" spans="1:23" ht="90" x14ac:dyDescent="0.25">
      <c r="A142" s="383" t="s">
        <v>213</v>
      </c>
      <c r="B142" s="553" t="s">
        <v>309</v>
      </c>
      <c r="C142" s="180"/>
      <c r="D142" s="555">
        <v>341</v>
      </c>
      <c r="E142" s="555">
        <v>244</v>
      </c>
      <c r="F142" s="557" t="s">
        <v>268</v>
      </c>
      <c r="G142" s="557"/>
      <c r="H142" s="557"/>
      <c r="I142" s="557"/>
      <c r="J142" s="557"/>
      <c r="K142" s="557"/>
      <c r="L142" s="557"/>
      <c r="M142" s="557"/>
      <c r="N142" s="557"/>
      <c r="O142" s="557"/>
      <c r="P142" s="557"/>
      <c r="Q142" s="557"/>
      <c r="R142" s="557"/>
      <c r="S142" s="585">
        <f>M144</f>
        <v>10200</v>
      </c>
      <c r="T142" s="585">
        <f>M145</f>
        <v>10600</v>
      </c>
      <c r="U142" s="585">
        <f>M146</f>
        <v>11100</v>
      </c>
      <c r="V142" s="64"/>
      <c r="W142" s="161" t="s">
        <v>310</v>
      </c>
    </row>
    <row r="143" spans="1:23" ht="18.75" customHeight="1" outlineLevel="1" x14ac:dyDescent="0.25">
      <c r="A143" s="383"/>
      <c r="B143" s="554"/>
      <c r="C143" s="180"/>
      <c r="D143" s="556"/>
      <c r="E143" s="560"/>
      <c r="F143" s="181"/>
      <c r="G143" s="182">
        <v>11</v>
      </c>
      <c r="H143" s="183" t="s">
        <v>78</v>
      </c>
      <c r="I143" s="182"/>
      <c r="J143" s="183" t="s">
        <v>41</v>
      </c>
      <c r="K143" s="182">
        <f>ROUND((G143*I143),2)</f>
        <v>0</v>
      </c>
      <c r="L143" s="183" t="s">
        <v>37</v>
      </c>
      <c r="M143" s="183"/>
      <c r="N143" s="183"/>
      <c r="O143" s="183"/>
      <c r="P143" s="183"/>
      <c r="Q143" s="183"/>
      <c r="R143" s="188"/>
      <c r="S143" s="585"/>
      <c r="T143" s="585"/>
      <c r="U143" s="585"/>
      <c r="V143" s="64"/>
      <c r="W143" s="161"/>
    </row>
    <row r="144" spans="1:23" ht="15" x14ac:dyDescent="0.25">
      <c r="A144" s="383"/>
      <c r="B144" s="554"/>
      <c r="C144" s="180"/>
      <c r="D144" s="556"/>
      <c r="E144" s="560"/>
      <c r="F144" s="187" t="s">
        <v>151</v>
      </c>
      <c r="G144" s="182">
        <v>11</v>
      </c>
      <c r="H144" s="188" t="s">
        <v>294</v>
      </c>
      <c r="I144" s="277">
        <f>ROUNDUP((923.64),2)</f>
        <v>923.64</v>
      </c>
      <c r="J144" s="183" t="s">
        <v>41</v>
      </c>
      <c r="K144" s="182">
        <f>G144*I144</f>
        <v>10160.039999999999</v>
      </c>
      <c r="L144" s="183" t="s">
        <v>41</v>
      </c>
      <c r="M144" s="190">
        <f>ROUNDUP((K144),-2)</f>
        <v>10200</v>
      </c>
      <c r="N144" s="191" t="s">
        <v>37</v>
      </c>
      <c r="O144" s="190"/>
      <c r="P144" s="192"/>
      <c r="Q144" s="192"/>
      <c r="R144" s="192"/>
      <c r="S144" s="585"/>
      <c r="T144" s="585"/>
      <c r="U144" s="585"/>
      <c r="V144" s="64"/>
      <c r="W144" s="161" t="str">
        <f>""&amp;TEXT(G144,"0,0")&amp;" шт. х "&amp;TEXT(ROUND((K144/G144),2),"0,00")&amp;" руб. = "&amp;TEXT(ROUND((G144*(ROUND((K144/G144),2))),2),"0 000,00")&amp;" руб. = "&amp;TEXT(M144,"0 000,00")&amp;" руб."</f>
        <v>11,0 шт. х 923,64 руб. = 10 160,04 руб. = 10 200,00 руб.</v>
      </c>
    </row>
    <row r="145" spans="1:23" ht="15" x14ac:dyDescent="0.25">
      <c r="A145" s="383"/>
      <c r="B145" s="554"/>
      <c r="C145" s="180"/>
      <c r="D145" s="556"/>
      <c r="E145" s="560"/>
      <c r="F145" s="187" t="s">
        <v>193</v>
      </c>
      <c r="G145" s="182">
        <v>11</v>
      </c>
      <c r="H145" s="183" t="str">
        <f>H144</f>
        <v>шт. х средняя цена с индексом потребительских цен</v>
      </c>
      <c r="I145" s="189">
        <f>ROUNDUP(I144*(1.041),2)</f>
        <v>961.51</v>
      </c>
      <c r="J145" s="183" t="s">
        <v>41</v>
      </c>
      <c r="K145" s="182">
        <f t="shared" ref="K145:K146" si="32">G145*I145</f>
        <v>10576.61</v>
      </c>
      <c r="L145" s="183" t="s">
        <v>41</v>
      </c>
      <c r="M145" s="190">
        <f>ROUNDUP((K145),-2)</f>
        <v>10600</v>
      </c>
      <c r="N145" s="191" t="s">
        <v>37</v>
      </c>
      <c r="O145" s="190"/>
      <c r="P145" s="192"/>
      <c r="Q145" s="192"/>
      <c r="R145" s="192"/>
      <c r="S145" s="585"/>
      <c r="T145" s="585"/>
      <c r="U145" s="585"/>
      <c r="V145" s="64"/>
      <c r="W145" s="161" t="str">
        <f>""&amp;TEXT(G145,"0,0")&amp;" шт. х "&amp;TEXT(ROUND((K145/G145),2),"0,00")&amp;" руб. = "&amp;TEXT(ROUND((G145*(ROUND((K145/G145),2))),2),"0 000,00")&amp;" руб. = "&amp;TEXT(M145,"0 000,00")&amp;" руб."</f>
        <v>11,0 шт. х 961,51 руб. = 10 576,61 руб. = 10 600,00 руб.</v>
      </c>
    </row>
    <row r="146" spans="1:23" ht="15" x14ac:dyDescent="0.25">
      <c r="A146" s="383"/>
      <c r="B146" s="554"/>
      <c r="C146" s="180"/>
      <c r="D146" s="556"/>
      <c r="E146" s="560"/>
      <c r="F146" s="187" t="s">
        <v>226</v>
      </c>
      <c r="G146" s="182">
        <v>11</v>
      </c>
      <c r="H146" s="183" t="str">
        <f>H144</f>
        <v>шт. х средняя цена с индексом потребительских цен</v>
      </c>
      <c r="I146" s="189">
        <f>ROUNDUP(I145*(1.041),2)</f>
        <v>1000.9399999999999</v>
      </c>
      <c r="J146" s="183" t="s">
        <v>41</v>
      </c>
      <c r="K146" s="182">
        <f t="shared" si="32"/>
        <v>11010.34</v>
      </c>
      <c r="L146" s="183" t="s">
        <v>41</v>
      </c>
      <c r="M146" s="190">
        <f>ROUNDUP((K146),-2)</f>
        <v>11100</v>
      </c>
      <c r="N146" s="191" t="s">
        <v>37</v>
      </c>
      <c r="O146" s="190"/>
      <c r="P146" s="192"/>
      <c r="Q146" s="192"/>
      <c r="R146" s="192"/>
      <c r="S146" s="601"/>
      <c r="T146" s="601"/>
      <c r="U146" s="601"/>
      <c r="V146" s="64"/>
      <c r="W146" s="161" t="str">
        <f>""&amp;TEXT(G146,"0,0")&amp;" шт. х "&amp;TEXT(ROUND((K146/G146),2),"0,00")&amp;" руб. = "&amp;TEXT(ROUND((G146*(ROUND((K146/G146),2))),2),"0 000,00")&amp;" руб. = "&amp;TEXT(M146,"0 000,00")&amp;" руб."</f>
        <v>11,0 шт. х 1000,94 руб. = 11 010,34 руб. = 11 100,00 руб.</v>
      </c>
    </row>
    <row r="147" spans="1:23" ht="90" x14ac:dyDescent="0.25">
      <c r="A147" s="383" t="s">
        <v>311</v>
      </c>
      <c r="B147" s="553" t="s">
        <v>312</v>
      </c>
      <c r="C147" s="180"/>
      <c r="D147" s="555">
        <v>341</v>
      </c>
      <c r="E147" s="555">
        <v>244</v>
      </c>
      <c r="F147" s="557" t="s">
        <v>268</v>
      </c>
      <c r="G147" s="557"/>
      <c r="H147" s="557"/>
      <c r="I147" s="557"/>
      <c r="J147" s="557"/>
      <c r="K147" s="557"/>
      <c r="L147" s="557"/>
      <c r="M147" s="557"/>
      <c r="N147" s="557"/>
      <c r="O147" s="557"/>
      <c r="P147" s="557"/>
      <c r="Q147" s="557"/>
      <c r="R147" s="557"/>
      <c r="S147" s="550">
        <f>M149</f>
        <v>5200</v>
      </c>
      <c r="T147" s="550">
        <f>M150</f>
        <v>5400</v>
      </c>
      <c r="U147" s="550">
        <f>M151</f>
        <v>5700</v>
      </c>
      <c r="V147" s="64"/>
      <c r="W147" s="161" t="s">
        <v>313</v>
      </c>
    </row>
    <row r="148" spans="1:23" ht="15" customHeight="1" outlineLevel="1" x14ac:dyDescent="0.25">
      <c r="A148" s="383"/>
      <c r="B148" s="554"/>
      <c r="C148" s="180"/>
      <c r="D148" s="556"/>
      <c r="E148" s="560"/>
      <c r="F148" s="181"/>
      <c r="G148" s="182">
        <v>64</v>
      </c>
      <c r="H148" s="183" t="s">
        <v>78</v>
      </c>
      <c r="I148" s="182">
        <f>ROUNDUP((5172.48/64),2)</f>
        <v>80.819999999999993</v>
      </c>
      <c r="J148" s="183" t="s">
        <v>41</v>
      </c>
      <c r="K148" s="182">
        <f>ROUND((G148*I148),2)</f>
        <v>5172.4799999999996</v>
      </c>
      <c r="L148" s="183" t="s">
        <v>37</v>
      </c>
      <c r="M148" s="183"/>
      <c r="N148" s="183"/>
      <c r="O148" s="183"/>
      <c r="P148" s="183"/>
      <c r="Q148" s="183"/>
      <c r="R148" s="188"/>
      <c r="S148" s="550"/>
      <c r="T148" s="550"/>
      <c r="U148" s="550"/>
      <c r="V148" s="64"/>
      <c r="W148" s="161"/>
    </row>
    <row r="149" spans="1:23" ht="15" x14ac:dyDescent="0.25">
      <c r="A149" s="383"/>
      <c r="B149" s="554"/>
      <c r="C149" s="180"/>
      <c r="D149" s="556"/>
      <c r="E149" s="560"/>
      <c r="F149" s="187" t="s">
        <v>151</v>
      </c>
      <c r="G149" s="182">
        <v>64</v>
      </c>
      <c r="H149" s="188" t="s">
        <v>294</v>
      </c>
      <c r="I149" s="189">
        <f>ROUNDUP(I148*(1.04-1.04+1),2)</f>
        <v>80.819999999999993</v>
      </c>
      <c r="J149" s="183" t="s">
        <v>41</v>
      </c>
      <c r="K149" s="182">
        <f>G149*I149</f>
        <v>5172.4799999999996</v>
      </c>
      <c r="L149" s="183" t="s">
        <v>41</v>
      </c>
      <c r="M149" s="190">
        <f>ROUNDUP((K149),-2)</f>
        <v>5200</v>
      </c>
      <c r="N149" s="191" t="s">
        <v>37</v>
      </c>
      <c r="O149" s="190"/>
      <c r="P149" s="192"/>
      <c r="Q149" s="192"/>
      <c r="R149" s="192"/>
      <c r="S149" s="550"/>
      <c r="T149" s="550"/>
      <c r="U149" s="550"/>
      <c r="V149" s="64"/>
      <c r="W149" s="161" t="str">
        <f>""&amp;TEXT(G149,"0,0")&amp;" шт. х "&amp;TEXT(ROUND((K149/G149),2),"0,00")&amp;" руб. = "&amp;TEXT(ROUND((G149*(ROUND((K149/G149),2))),2),"0 000,00")&amp;" руб. = "&amp;TEXT(M149,"0 000,00")&amp;" руб."</f>
        <v>64,0 шт. х 80,82 руб. = 5 172,48 руб. = 5 200,00 руб.</v>
      </c>
    </row>
    <row r="150" spans="1:23" ht="15" x14ac:dyDescent="0.25">
      <c r="A150" s="383"/>
      <c r="B150" s="554"/>
      <c r="C150" s="180"/>
      <c r="D150" s="556"/>
      <c r="E150" s="560"/>
      <c r="F150" s="187" t="s">
        <v>193</v>
      </c>
      <c r="G150" s="182">
        <v>64</v>
      </c>
      <c r="H150" s="183" t="str">
        <f>H149</f>
        <v>шт. х средняя цена с индексом потребительских цен</v>
      </c>
      <c r="I150" s="189">
        <f>ROUNDUP(I149*(1.041),2)</f>
        <v>84.14</v>
      </c>
      <c r="J150" s="183" t="s">
        <v>41</v>
      </c>
      <c r="K150" s="182">
        <f t="shared" ref="K150:K151" si="33">G150*I150</f>
        <v>5384.96</v>
      </c>
      <c r="L150" s="183" t="s">
        <v>41</v>
      </c>
      <c r="M150" s="190">
        <f>ROUNDUP((K150),-2)</f>
        <v>5400</v>
      </c>
      <c r="N150" s="191" t="s">
        <v>37</v>
      </c>
      <c r="O150" s="190"/>
      <c r="P150" s="192"/>
      <c r="Q150" s="192"/>
      <c r="R150" s="192"/>
      <c r="S150" s="550"/>
      <c r="T150" s="550"/>
      <c r="U150" s="550"/>
      <c r="V150" s="64"/>
      <c r="W150" s="161" t="str">
        <f>""&amp;TEXT(G150,"0,0")&amp;" шт. х "&amp;TEXT(ROUND((K150/G150),2),"0,00")&amp;" руб. = "&amp;TEXT(ROUND((G150*(ROUND((K150/G150),2))),2),"0 000,00")&amp;" руб. = "&amp;TEXT(M150,"0 000,00")&amp;" руб."</f>
        <v>64,0 шт. х 84,14 руб. = 5 384,96 руб. = 5 400,00 руб.</v>
      </c>
    </row>
    <row r="151" spans="1:23" ht="15" x14ac:dyDescent="0.25">
      <c r="A151" s="383"/>
      <c r="B151" s="554"/>
      <c r="C151" s="180"/>
      <c r="D151" s="556"/>
      <c r="E151" s="560"/>
      <c r="F151" s="187" t="s">
        <v>226</v>
      </c>
      <c r="G151" s="182">
        <v>64</v>
      </c>
      <c r="H151" s="183" t="str">
        <f>H149</f>
        <v>шт. х средняя цена с индексом потребительских цен</v>
      </c>
      <c r="I151" s="189">
        <f>ROUNDUP(I150*(1.041),2)</f>
        <v>87.59</v>
      </c>
      <c r="J151" s="183" t="s">
        <v>41</v>
      </c>
      <c r="K151" s="182">
        <f t="shared" si="33"/>
        <v>5605.76</v>
      </c>
      <c r="L151" s="183" t="s">
        <v>41</v>
      </c>
      <c r="M151" s="190">
        <f>ROUNDUP((K151),-2)</f>
        <v>5700</v>
      </c>
      <c r="N151" s="191" t="s">
        <v>37</v>
      </c>
      <c r="O151" s="190"/>
      <c r="P151" s="192"/>
      <c r="Q151" s="192"/>
      <c r="R151" s="192"/>
      <c r="S151" s="551"/>
      <c r="T151" s="551"/>
      <c r="U151" s="551"/>
      <c r="V151" s="64"/>
      <c r="W151" s="161" t="str">
        <f>""&amp;TEXT(G151,"0,0")&amp;" шт. х "&amp;TEXT(ROUND((K151/G151),2),"0,00")&amp;" руб. = "&amp;TEXT(ROUND((G151*(ROUND((K151/G151),2))),2),"0 000,00")&amp;" руб. = "&amp;TEXT(M151,"0 000,00")&amp;" руб."</f>
        <v>64,0 шт. х 87,59 руб. = 5 605,76 руб. = 5 700,00 руб.</v>
      </c>
    </row>
    <row r="152" spans="1:23" ht="90" x14ac:dyDescent="0.25">
      <c r="A152" s="383" t="s">
        <v>314</v>
      </c>
      <c r="B152" s="553" t="s">
        <v>315</v>
      </c>
      <c r="C152" s="180"/>
      <c r="D152" s="555">
        <v>341</v>
      </c>
      <c r="E152" s="555">
        <v>244</v>
      </c>
      <c r="F152" s="557" t="s">
        <v>268</v>
      </c>
      <c r="G152" s="557"/>
      <c r="H152" s="557"/>
      <c r="I152" s="557"/>
      <c r="J152" s="557"/>
      <c r="K152" s="557"/>
      <c r="L152" s="557"/>
      <c r="M152" s="557"/>
      <c r="N152" s="557"/>
      <c r="O152" s="557"/>
      <c r="P152" s="557"/>
      <c r="Q152" s="557"/>
      <c r="R152" s="557"/>
      <c r="S152" s="550">
        <f>M154</f>
        <v>5700</v>
      </c>
      <c r="T152" s="550">
        <f>M155</f>
        <v>5900</v>
      </c>
      <c r="U152" s="550">
        <f>M156</f>
        <v>6100</v>
      </c>
      <c r="V152" s="64"/>
      <c r="W152" s="161" t="s">
        <v>316</v>
      </c>
    </row>
    <row r="153" spans="1:23" ht="15" customHeight="1" outlineLevel="1" x14ac:dyDescent="0.25">
      <c r="A153" s="383"/>
      <c r="B153" s="554"/>
      <c r="C153" s="180"/>
      <c r="D153" s="556"/>
      <c r="E153" s="560"/>
      <c r="F153" s="181"/>
      <c r="G153" s="182">
        <v>64</v>
      </c>
      <c r="H153" s="183" t="s">
        <v>78</v>
      </c>
      <c r="I153" s="182">
        <f>ROUNDUP((5610.88/64),2)</f>
        <v>87.67</v>
      </c>
      <c r="J153" s="183" t="s">
        <v>41</v>
      </c>
      <c r="K153" s="182">
        <f>ROUND((G153*I153),2)</f>
        <v>5610.88</v>
      </c>
      <c r="L153" s="183" t="s">
        <v>37</v>
      </c>
      <c r="M153" s="183"/>
      <c r="N153" s="183"/>
      <c r="O153" s="183"/>
      <c r="P153" s="183"/>
      <c r="Q153" s="183"/>
      <c r="R153" s="188"/>
      <c r="S153" s="550"/>
      <c r="T153" s="550"/>
      <c r="U153" s="550"/>
      <c r="V153" s="64"/>
      <c r="W153" s="161"/>
    </row>
    <row r="154" spans="1:23" ht="15" x14ac:dyDescent="0.25">
      <c r="A154" s="383"/>
      <c r="B154" s="554"/>
      <c r="C154" s="180"/>
      <c r="D154" s="556"/>
      <c r="E154" s="560"/>
      <c r="F154" s="187" t="s">
        <v>151</v>
      </c>
      <c r="G154" s="182">
        <v>64</v>
      </c>
      <c r="H154" s="188" t="s">
        <v>294</v>
      </c>
      <c r="I154" s="189">
        <f>ROUNDUP(I153*(1.04-1.04+1),2)</f>
        <v>87.67</v>
      </c>
      <c r="J154" s="183" t="s">
        <v>41</v>
      </c>
      <c r="K154" s="182">
        <f>G154*I154</f>
        <v>5610.88</v>
      </c>
      <c r="L154" s="183" t="s">
        <v>41</v>
      </c>
      <c r="M154" s="190">
        <f>ROUNDUP((K154),-2)</f>
        <v>5700</v>
      </c>
      <c r="N154" s="191" t="s">
        <v>37</v>
      </c>
      <c r="O154" s="190"/>
      <c r="P154" s="192"/>
      <c r="Q154" s="192"/>
      <c r="R154" s="192"/>
      <c r="S154" s="550"/>
      <c r="T154" s="550"/>
      <c r="U154" s="550"/>
      <c r="V154" s="64"/>
      <c r="W154" s="161" t="str">
        <f>""&amp;TEXT(G154,"0,0")&amp;" шт. х "&amp;TEXT(ROUND((K154/G154),2),"0,00")&amp;" руб. = "&amp;TEXT(ROUND((G154*(ROUND((K154/G154),2))),2),"0 000,00")&amp;" руб. = "&amp;TEXT(M154,"0 000,00")&amp;" руб."</f>
        <v>64,0 шт. х 87,67 руб. = 5 610,88 руб. = 5 700,00 руб.</v>
      </c>
    </row>
    <row r="155" spans="1:23" ht="15" x14ac:dyDescent="0.25">
      <c r="A155" s="383"/>
      <c r="B155" s="554"/>
      <c r="C155" s="180"/>
      <c r="D155" s="556"/>
      <c r="E155" s="560"/>
      <c r="F155" s="187" t="s">
        <v>193</v>
      </c>
      <c r="G155" s="182">
        <v>64</v>
      </c>
      <c r="H155" s="183" t="str">
        <f>H154</f>
        <v>шт. х средняя цена с индексом потребительских цен</v>
      </c>
      <c r="I155" s="189">
        <f>ROUNDUP(I154*(1.041),2)</f>
        <v>91.27000000000001</v>
      </c>
      <c r="J155" s="183" t="s">
        <v>41</v>
      </c>
      <c r="K155" s="182">
        <f t="shared" ref="K155:K156" si="34">G155*I155</f>
        <v>5841.2800000000007</v>
      </c>
      <c r="L155" s="183" t="s">
        <v>41</v>
      </c>
      <c r="M155" s="190">
        <f>ROUNDUP((K155),-2)</f>
        <v>5900</v>
      </c>
      <c r="N155" s="191" t="s">
        <v>37</v>
      </c>
      <c r="O155" s="190"/>
      <c r="P155" s="192"/>
      <c r="Q155" s="192"/>
      <c r="R155" s="192"/>
      <c r="S155" s="550"/>
      <c r="T155" s="550"/>
      <c r="U155" s="550"/>
      <c r="V155" s="64"/>
      <c r="W155" s="161" t="str">
        <f>""&amp;TEXT(G155,"0,0")&amp;" шт. х "&amp;TEXT(ROUND((K155/G155),2),"0,00")&amp;" руб. = "&amp;TEXT(ROUND((G155*(ROUND((K155/G155),2))),2),"0 000,00")&amp;" руб. = "&amp;TEXT(M155,"0 000,00")&amp;" руб."</f>
        <v>64,0 шт. х 91,27 руб. = 5 841,28 руб. = 5 900,00 руб.</v>
      </c>
    </row>
    <row r="156" spans="1:23" ht="15" x14ac:dyDescent="0.25">
      <c r="A156" s="383"/>
      <c r="B156" s="554"/>
      <c r="C156" s="180"/>
      <c r="D156" s="556"/>
      <c r="E156" s="560"/>
      <c r="F156" s="187" t="s">
        <v>226</v>
      </c>
      <c r="G156" s="182">
        <v>64</v>
      </c>
      <c r="H156" s="183" t="str">
        <f>H154</f>
        <v>шт. х средняя цена с индексом потребительских цен</v>
      </c>
      <c r="I156" s="189">
        <f>ROUNDUP(I155*(1.041),2)</f>
        <v>95.02000000000001</v>
      </c>
      <c r="J156" s="183" t="s">
        <v>41</v>
      </c>
      <c r="K156" s="182">
        <f t="shared" si="34"/>
        <v>6081.2800000000007</v>
      </c>
      <c r="L156" s="183" t="s">
        <v>41</v>
      </c>
      <c r="M156" s="190">
        <f>ROUNDUP((K156),-2)</f>
        <v>6100</v>
      </c>
      <c r="N156" s="191" t="s">
        <v>37</v>
      </c>
      <c r="O156" s="190"/>
      <c r="P156" s="192"/>
      <c r="Q156" s="192"/>
      <c r="R156" s="192"/>
      <c r="S156" s="551"/>
      <c r="T156" s="551"/>
      <c r="U156" s="551"/>
      <c r="V156" s="64"/>
      <c r="W156" s="161" t="str">
        <f>""&amp;TEXT(G156,"0,0")&amp;" шт. х "&amp;TEXT(ROUND((K156/G156),2),"0,00")&amp;" руб. = "&amp;TEXT(ROUND((G156*(ROUND((K156/G156),2))),2),"0 000,00")&amp;" руб. = "&amp;TEXT(M156,"0 000,00")&amp;" руб."</f>
        <v>64,0 шт. х 95,02 руб. = 6 081,28 руб. = 6 100,00 руб.</v>
      </c>
    </row>
    <row r="157" spans="1:23" ht="90" collapsed="1" x14ac:dyDescent="0.25">
      <c r="A157" s="383" t="s">
        <v>317</v>
      </c>
      <c r="B157" s="553" t="s">
        <v>318</v>
      </c>
      <c r="C157" s="180"/>
      <c r="D157" s="555">
        <v>346</v>
      </c>
      <c r="E157" s="555">
        <v>244</v>
      </c>
      <c r="F157" s="557" t="s">
        <v>268</v>
      </c>
      <c r="G157" s="557"/>
      <c r="H157" s="557"/>
      <c r="I157" s="557"/>
      <c r="J157" s="557"/>
      <c r="K157" s="557"/>
      <c r="L157" s="557"/>
      <c r="M157" s="557"/>
      <c r="N157" s="557"/>
      <c r="O157" s="557"/>
      <c r="P157" s="557"/>
      <c r="Q157" s="557"/>
      <c r="R157" s="557"/>
      <c r="S157" s="550">
        <f>M159</f>
        <v>14400</v>
      </c>
      <c r="T157" s="550">
        <f>M160</f>
        <v>15000</v>
      </c>
      <c r="U157" s="550">
        <f>M161</f>
        <v>15600</v>
      </c>
      <c r="V157" s="64"/>
      <c r="W157" s="161" t="s">
        <v>319</v>
      </c>
    </row>
    <row r="158" spans="1:23" ht="15" hidden="1" outlineLevel="1" x14ac:dyDescent="0.25">
      <c r="A158" s="383"/>
      <c r="B158" s="554"/>
      <c r="C158" s="180"/>
      <c r="D158" s="556"/>
      <c r="E158" s="560"/>
      <c r="F158" s="181"/>
      <c r="G158" s="182">
        <v>20</v>
      </c>
      <c r="H158" s="183" t="s">
        <v>78</v>
      </c>
      <c r="I158" s="182">
        <f>ROUNDUP((14358.6/20),2)</f>
        <v>717.93</v>
      </c>
      <c r="J158" s="183" t="s">
        <v>41</v>
      </c>
      <c r="K158" s="182">
        <f>ROUND((G158*I158),2)</f>
        <v>14358.6</v>
      </c>
      <c r="L158" s="183" t="s">
        <v>37</v>
      </c>
      <c r="M158" s="183"/>
      <c r="N158" s="183"/>
      <c r="O158" s="183"/>
      <c r="P158" s="183"/>
      <c r="Q158" s="183"/>
      <c r="R158" s="188"/>
      <c r="S158" s="550"/>
      <c r="T158" s="550"/>
      <c r="U158" s="550"/>
      <c r="V158" s="64"/>
      <c r="W158" s="161"/>
    </row>
    <row r="159" spans="1:23" ht="15" x14ac:dyDescent="0.25">
      <c r="A159" s="383"/>
      <c r="B159" s="554"/>
      <c r="C159" s="180"/>
      <c r="D159" s="556"/>
      <c r="E159" s="560"/>
      <c r="F159" s="187" t="s">
        <v>151</v>
      </c>
      <c r="G159" s="182">
        <v>20</v>
      </c>
      <c r="H159" s="188" t="s">
        <v>294</v>
      </c>
      <c r="I159" s="189">
        <f>ROUNDUP(I158*(1.04-1.04+1),2)</f>
        <v>717.93</v>
      </c>
      <c r="J159" s="183" t="s">
        <v>41</v>
      </c>
      <c r="K159" s="182">
        <f>G159*I159</f>
        <v>14358.599999999999</v>
      </c>
      <c r="L159" s="183" t="s">
        <v>41</v>
      </c>
      <c r="M159" s="190">
        <f>ROUNDUP((K159),-2)</f>
        <v>14400</v>
      </c>
      <c r="N159" s="191" t="s">
        <v>37</v>
      </c>
      <c r="O159" s="190"/>
      <c r="P159" s="192"/>
      <c r="Q159" s="192"/>
      <c r="R159" s="192"/>
      <c r="S159" s="550"/>
      <c r="T159" s="550"/>
      <c r="U159" s="550"/>
      <c r="V159" s="64"/>
      <c r="W159" s="161" t="str">
        <f>""&amp;TEXT(G159,"0,0")&amp;" шт. х "&amp;TEXT(ROUND((K159/G159),2),"0,00")&amp;" руб. = "&amp;TEXT(ROUND((G159*(ROUND((K159/G159),2))),2),"0 000,00")&amp;" руб. = "&amp;TEXT(M159,"0 000,00")&amp;" руб."</f>
        <v>20,0 шт. х 717,93 руб. = 14 358,60 руб. = 14 400,00 руб.</v>
      </c>
    </row>
    <row r="160" spans="1:23" ht="15" x14ac:dyDescent="0.25">
      <c r="A160" s="383"/>
      <c r="B160" s="554"/>
      <c r="C160" s="180"/>
      <c r="D160" s="556"/>
      <c r="E160" s="560"/>
      <c r="F160" s="187" t="s">
        <v>193</v>
      </c>
      <c r="G160" s="182">
        <v>20</v>
      </c>
      <c r="H160" s="183" t="str">
        <f>H159</f>
        <v>шт. х средняя цена с индексом потребительских цен</v>
      </c>
      <c r="I160" s="189">
        <f>ROUNDUP(I159*(1.041),2)</f>
        <v>747.37</v>
      </c>
      <c r="J160" s="183" t="s">
        <v>41</v>
      </c>
      <c r="K160" s="182">
        <f t="shared" ref="K160:K161" si="35">G160*I160</f>
        <v>14947.4</v>
      </c>
      <c r="L160" s="183" t="s">
        <v>41</v>
      </c>
      <c r="M160" s="190">
        <f>ROUNDUP((K160),-2)</f>
        <v>15000</v>
      </c>
      <c r="N160" s="191" t="s">
        <v>37</v>
      </c>
      <c r="O160" s="190"/>
      <c r="P160" s="192"/>
      <c r="Q160" s="192"/>
      <c r="R160" s="192"/>
      <c r="S160" s="550"/>
      <c r="T160" s="550"/>
      <c r="U160" s="550"/>
      <c r="V160" s="64"/>
      <c r="W160" s="161" t="str">
        <f t="shared" ref="W160:W161" si="36">""&amp;TEXT(G160,"0,0")&amp;" шт. х "&amp;TEXT(ROUND((K160/G160),2),"0,00")&amp;" руб. = "&amp;TEXT(ROUND((G160*(ROUND((K160/G160),2))),2),"0 000,00")&amp;" руб. = "&amp;TEXT(M160,"0 000,00")&amp;" руб."</f>
        <v>20,0 шт. х 747,37 руб. = 14 947,40 руб. = 15 000,00 руб.</v>
      </c>
    </row>
    <row r="161" spans="1:23" ht="15" x14ac:dyDescent="0.25">
      <c r="A161" s="383"/>
      <c r="B161" s="554"/>
      <c r="C161" s="180"/>
      <c r="D161" s="556"/>
      <c r="E161" s="560"/>
      <c r="F161" s="187" t="s">
        <v>226</v>
      </c>
      <c r="G161" s="182">
        <v>20</v>
      </c>
      <c r="H161" s="183" t="str">
        <f>H159</f>
        <v>шт. х средняя цена с индексом потребительских цен</v>
      </c>
      <c r="I161" s="189">
        <f>ROUNDUP(I160*(1.041),2)</f>
        <v>778.02</v>
      </c>
      <c r="J161" s="183" t="s">
        <v>41</v>
      </c>
      <c r="K161" s="182">
        <f t="shared" si="35"/>
        <v>15560.4</v>
      </c>
      <c r="L161" s="183" t="s">
        <v>41</v>
      </c>
      <c r="M161" s="190">
        <f>ROUNDUP((K161),-2)</f>
        <v>15600</v>
      </c>
      <c r="N161" s="191" t="s">
        <v>37</v>
      </c>
      <c r="O161" s="190"/>
      <c r="P161" s="192"/>
      <c r="Q161" s="192"/>
      <c r="R161" s="192"/>
      <c r="S161" s="551"/>
      <c r="T161" s="551"/>
      <c r="U161" s="551"/>
      <c r="V161" s="64"/>
      <c r="W161" s="161" t="str">
        <f t="shared" si="36"/>
        <v>20,0 шт. х 778,02 руб. = 15 560,40 руб. = 15 600,00 руб.</v>
      </c>
    </row>
    <row r="162" spans="1:23" ht="90" collapsed="1" x14ac:dyDescent="0.25">
      <c r="A162" s="383" t="s">
        <v>320</v>
      </c>
      <c r="B162" s="553" t="s">
        <v>214</v>
      </c>
      <c r="C162" s="180"/>
      <c r="D162" s="555">
        <v>346</v>
      </c>
      <c r="E162" s="555">
        <v>244</v>
      </c>
      <c r="F162" s="557" t="s">
        <v>237</v>
      </c>
      <c r="G162" s="557"/>
      <c r="H162" s="557"/>
      <c r="I162" s="557"/>
      <c r="J162" s="557"/>
      <c r="K162" s="557"/>
      <c r="L162" s="557"/>
      <c r="M162" s="557"/>
      <c r="N162" s="557"/>
      <c r="O162" s="557"/>
      <c r="P162" s="557"/>
      <c r="Q162" s="557"/>
      <c r="R162" s="557"/>
      <c r="S162" s="550">
        <f>M164</f>
        <v>607500</v>
      </c>
      <c r="T162" s="550">
        <f>M165</f>
        <v>632500</v>
      </c>
      <c r="U162" s="550">
        <f>M166</f>
        <v>658600</v>
      </c>
      <c r="V162" s="64"/>
      <c r="W162" s="161" t="s">
        <v>215</v>
      </c>
    </row>
    <row r="163" spans="1:23" ht="15" hidden="1" outlineLevel="1" x14ac:dyDescent="0.25">
      <c r="A163" s="383"/>
      <c r="B163" s="554"/>
      <c r="C163" s="180"/>
      <c r="D163" s="556"/>
      <c r="E163" s="560"/>
      <c r="F163" s="181"/>
      <c r="G163" s="182">
        <v>13500</v>
      </c>
      <c r="H163" s="183" t="s">
        <v>78</v>
      </c>
      <c r="I163" s="182">
        <f>ROUNDUP((43.26),2)</f>
        <v>43.26</v>
      </c>
      <c r="J163" s="183" t="s">
        <v>41</v>
      </c>
      <c r="K163" s="182">
        <f>ROUND((G163*I163),2)</f>
        <v>584010</v>
      </c>
      <c r="L163" s="183" t="s">
        <v>37</v>
      </c>
      <c r="M163" s="183"/>
      <c r="N163" s="183"/>
      <c r="O163" s="183"/>
      <c r="P163" s="183"/>
      <c r="Q163" s="183"/>
      <c r="R163" s="188"/>
      <c r="S163" s="550"/>
      <c r="T163" s="550"/>
      <c r="U163" s="550"/>
      <c r="V163" s="64"/>
      <c r="W163" s="161"/>
    </row>
    <row r="164" spans="1:23" ht="15" x14ac:dyDescent="0.25">
      <c r="A164" s="383"/>
      <c r="B164" s="554"/>
      <c r="C164" s="180"/>
      <c r="D164" s="556"/>
      <c r="E164" s="560"/>
      <c r="F164" s="187" t="s">
        <v>151</v>
      </c>
      <c r="G164" s="182">
        <v>13500</v>
      </c>
      <c r="H164" s="188" t="s">
        <v>294</v>
      </c>
      <c r="I164" s="189">
        <f>ROUNDUP(I163*(1.04),2)</f>
        <v>45</v>
      </c>
      <c r="J164" s="183" t="s">
        <v>41</v>
      </c>
      <c r="K164" s="182">
        <f>G164*I164</f>
        <v>607500</v>
      </c>
      <c r="L164" s="183" t="s">
        <v>41</v>
      </c>
      <c r="M164" s="190">
        <f>ROUNDUP((K164),-2)</f>
        <v>607500</v>
      </c>
      <c r="N164" s="191" t="s">
        <v>37</v>
      </c>
      <c r="O164" s="190"/>
      <c r="P164" s="192"/>
      <c r="Q164" s="192"/>
      <c r="R164" s="192"/>
      <c r="S164" s="550"/>
      <c r="T164" s="550"/>
      <c r="U164" s="550"/>
      <c r="V164" s="64"/>
      <c r="W164" s="161" t="str">
        <f>""&amp;TEXT(G164,"0,0")&amp;" шт. х "&amp;TEXT(ROUND((K164/G164),2),"0,00")&amp;" руб. = "&amp;TEXT(ROUND((G164*(ROUND((K164/G164),2))),2),"0 000,00")&amp;" руб. = "&amp;TEXT(M164,"0 000,00")&amp;" руб."</f>
        <v>13500,0 шт. х 45,00 руб. = 607 500,00 руб. = 607 500,00 руб.</v>
      </c>
    </row>
    <row r="165" spans="1:23" ht="15" x14ac:dyDescent="0.25">
      <c r="A165" s="383"/>
      <c r="B165" s="554"/>
      <c r="C165" s="180"/>
      <c r="D165" s="556"/>
      <c r="E165" s="560"/>
      <c r="F165" s="187" t="s">
        <v>193</v>
      </c>
      <c r="G165" s="182">
        <v>13500</v>
      </c>
      <c r="H165" s="183" t="str">
        <f>H164</f>
        <v>шт. х средняя цена с индексом потребительских цен</v>
      </c>
      <c r="I165" s="189">
        <f>ROUNDUP(I164*(1.041),2)</f>
        <v>46.85</v>
      </c>
      <c r="J165" s="183" t="s">
        <v>41</v>
      </c>
      <c r="K165" s="182">
        <f t="shared" ref="K165:K166" si="37">G165*I165</f>
        <v>632475</v>
      </c>
      <c r="L165" s="183" t="s">
        <v>41</v>
      </c>
      <c r="M165" s="190">
        <f>ROUNDUP((K165),-2)</f>
        <v>632500</v>
      </c>
      <c r="N165" s="191" t="s">
        <v>37</v>
      </c>
      <c r="O165" s="190"/>
      <c r="P165" s="192"/>
      <c r="Q165" s="192"/>
      <c r="R165" s="192"/>
      <c r="S165" s="550"/>
      <c r="T165" s="550"/>
      <c r="U165" s="550"/>
      <c r="V165" s="64"/>
      <c r="W165" s="161" t="str">
        <f t="shared" ref="W165:W166" si="38">""&amp;TEXT(G165,"0,0")&amp;" шт. х "&amp;TEXT(ROUND((K165/G165),2),"0,00")&amp;" руб. = "&amp;TEXT(ROUND((G165*(ROUND((K165/G165),2))),2),"0 000,00")&amp;" руб. = "&amp;TEXT(M165,"0 000,00")&amp;" руб."</f>
        <v>13500,0 шт. х 46,85 руб. = 632 475,00 руб. = 632 500,00 руб.</v>
      </c>
    </row>
    <row r="166" spans="1:23" ht="15" x14ac:dyDescent="0.25">
      <c r="A166" s="383"/>
      <c r="B166" s="554"/>
      <c r="C166" s="180"/>
      <c r="D166" s="556"/>
      <c r="E166" s="560"/>
      <c r="F166" s="187" t="s">
        <v>226</v>
      </c>
      <c r="G166" s="182">
        <v>13500</v>
      </c>
      <c r="H166" s="183" t="str">
        <f>H164</f>
        <v>шт. х средняя цена с индексом потребительских цен</v>
      </c>
      <c r="I166" s="189">
        <f>ROUNDUP(I165*(1.041),2)</f>
        <v>48.78</v>
      </c>
      <c r="J166" s="183" t="s">
        <v>41</v>
      </c>
      <c r="K166" s="182">
        <f t="shared" si="37"/>
        <v>658530</v>
      </c>
      <c r="L166" s="183" t="s">
        <v>41</v>
      </c>
      <c r="M166" s="190">
        <f>ROUNDUP((K166),-2)</f>
        <v>658600</v>
      </c>
      <c r="N166" s="191" t="s">
        <v>37</v>
      </c>
      <c r="O166" s="190"/>
      <c r="P166" s="192"/>
      <c r="Q166" s="192"/>
      <c r="R166" s="192"/>
      <c r="S166" s="551"/>
      <c r="T166" s="551"/>
      <c r="U166" s="551"/>
      <c r="V166" s="64"/>
      <c r="W166" s="161" t="str">
        <f t="shared" si="38"/>
        <v>13500,0 шт. х 48,78 руб. = 658 530,00 руб. = 658 600,00 руб.</v>
      </c>
    </row>
    <row r="167" spans="1:23" ht="89.25" customHeight="1" x14ac:dyDescent="0.25">
      <c r="A167" s="177" t="s">
        <v>19</v>
      </c>
      <c r="B167" s="266" t="s">
        <v>93</v>
      </c>
      <c r="C167" s="158"/>
      <c r="D167" s="159" t="s">
        <v>35</v>
      </c>
      <c r="E167" s="159" t="s">
        <v>35</v>
      </c>
      <c r="F167" s="538"/>
      <c r="G167" s="539"/>
      <c r="H167" s="539"/>
      <c r="I167" s="539"/>
      <c r="J167" s="539"/>
      <c r="K167" s="539"/>
      <c r="L167" s="539"/>
      <c r="M167" s="539"/>
      <c r="N167" s="539"/>
      <c r="O167" s="539"/>
      <c r="P167" s="539"/>
      <c r="Q167" s="539"/>
      <c r="R167" s="539"/>
      <c r="S167" s="217">
        <f>SUM(S168,S173,S178,S183,S188)</f>
        <v>3287200</v>
      </c>
      <c r="T167" s="217">
        <f t="shared" ref="T167:U167" si="39">SUM(T168,T173,T178,T183,T188)</f>
        <v>3422000</v>
      </c>
      <c r="U167" s="217">
        <f t="shared" si="39"/>
        <v>3562400</v>
      </c>
      <c r="V167" s="158"/>
      <c r="W167" s="161" t="str">
        <f>"Нормативные "&amp;TEXT(B167,"0")&amp;" включают в себя:
нормативные "&amp;TEXT(B168,"0")&amp;";   нормативные "&amp;TEXT(B173,"0")&amp;";
нормативные "&amp;TEXT(B178,"0")&amp;";  нормативные "&amp;TEXT(B183,"0")&amp;";  нормативные "&amp;TEXT(B188,"0")&amp;""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   нормативные затраты на оказание услуг по обучению персонала;
нормативные затраты на оказание нотариальных услуг;  нормативные затраты на оказание услуг по архивной обработке и переплету документов;  нормативные затраты на оказание услуг по составлению архивной описи</v>
      </c>
    </row>
    <row r="168" spans="1:23" ht="90" collapsed="1" x14ac:dyDescent="0.25">
      <c r="A168" s="383" t="s">
        <v>20</v>
      </c>
      <c r="B168" s="553" t="s">
        <v>189</v>
      </c>
      <c r="C168" s="64"/>
      <c r="D168" s="555">
        <v>226</v>
      </c>
      <c r="E168" s="555">
        <v>244</v>
      </c>
      <c r="F168" s="557" t="s">
        <v>268</v>
      </c>
      <c r="G168" s="557"/>
      <c r="H168" s="557"/>
      <c r="I168" s="557"/>
      <c r="J168" s="557"/>
      <c r="K168" s="557"/>
      <c r="L168" s="557"/>
      <c r="M168" s="557"/>
      <c r="N168" s="557"/>
      <c r="O168" s="557"/>
      <c r="P168" s="557"/>
      <c r="Q168" s="557"/>
      <c r="R168" s="557"/>
      <c r="S168" s="550">
        <f>M170</f>
        <v>211600</v>
      </c>
      <c r="T168" s="550">
        <f>M171</f>
        <v>220300</v>
      </c>
      <c r="U168" s="550">
        <f>M172</f>
        <v>229400</v>
      </c>
      <c r="V168" s="64"/>
      <c r="W168" s="161" t="s">
        <v>321</v>
      </c>
    </row>
    <row r="169" spans="1:23" ht="23.25" hidden="1" customHeight="1" outlineLevel="1" x14ac:dyDescent="0.25">
      <c r="A169" s="437"/>
      <c r="B169" s="554"/>
      <c r="C169" s="64"/>
      <c r="D169" s="556"/>
      <c r="E169" s="560"/>
      <c r="F169" s="181"/>
      <c r="G169" s="182">
        <v>46</v>
      </c>
      <c r="H169" s="183" t="s">
        <v>231</v>
      </c>
      <c r="I169" s="182">
        <f>ROUNDUP((211600/46),2)</f>
        <v>4600</v>
      </c>
      <c r="J169" s="183" t="s">
        <v>41</v>
      </c>
      <c r="K169" s="182">
        <f>ROUND((G169*I169),2)</f>
        <v>211600</v>
      </c>
      <c r="L169" s="183" t="s">
        <v>37</v>
      </c>
      <c r="M169" s="183"/>
      <c r="N169" s="183"/>
      <c r="O169" s="183"/>
      <c r="P169" s="183"/>
      <c r="Q169" s="183"/>
      <c r="R169" s="188"/>
      <c r="S169" s="550"/>
      <c r="T169" s="550"/>
      <c r="U169" s="550"/>
      <c r="V169" s="64"/>
      <c r="W169" s="161"/>
    </row>
    <row r="170" spans="1:23" ht="15" x14ac:dyDescent="0.25">
      <c r="A170" s="437"/>
      <c r="B170" s="554"/>
      <c r="C170" s="64"/>
      <c r="D170" s="556"/>
      <c r="E170" s="560"/>
      <c r="F170" s="187" t="s">
        <v>151</v>
      </c>
      <c r="G170" s="182">
        <v>46</v>
      </c>
      <c r="H170" s="188" t="s">
        <v>271</v>
      </c>
      <c r="I170" s="189">
        <f>ROUNDUP(I169*(1.04-1.04+1),2)</f>
        <v>4600</v>
      </c>
      <c r="J170" s="183" t="s">
        <v>41</v>
      </c>
      <c r="K170" s="182">
        <f>G170*I170</f>
        <v>211600</v>
      </c>
      <c r="L170" s="183" t="s">
        <v>41</v>
      </c>
      <c r="M170" s="190">
        <f>ROUNDUP((K170),-2)</f>
        <v>211600</v>
      </c>
      <c r="N170" s="191" t="s">
        <v>37</v>
      </c>
      <c r="O170" s="190"/>
      <c r="P170" s="192"/>
      <c r="Q170" s="192"/>
      <c r="R170" s="192"/>
      <c r="S170" s="550"/>
      <c r="T170" s="550"/>
      <c r="U170" s="550"/>
      <c r="V170" s="64"/>
      <c r="W170" s="161" t="str">
        <f>""&amp;TEXT(G170,"0,0")&amp;" ед. х "&amp;TEXT(ROUND((K170/G170),2),"0,00")&amp;" руб. = "&amp;TEXT(ROUND((G170*(ROUND((K170/G170),2))),2),"0 000,00")&amp;" руб. = "&amp;TEXT(M170,"0 000,00")&amp;" руб."</f>
        <v>46,0 ед. х 4600,00 руб. = 211 600,00 руб. = 211 600,00 руб.</v>
      </c>
    </row>
    <row r="171" spans="1:23" ht="15" x14ac:dyDescent="0.25">
      <c r="A171" s="437"/>
      <c r="B171" s="554"/>
      <c r="C171" s="64"/>
      <c r="D171" s="556"/>
      <c r="E171" s="560"/>
      <c r="F171" s="187" t="s">
        <v>193</v>
      </c>
      <c r="G171" s="182">
        <v>46</v>
      </c>
      <c r="H171" s="183" t="str">
        <f>H170</f>
        <v>ед. х средняя цена с индексом потребительских цен</v>
      </c>
      <c r="I171" s="189">
        <f>ROUNDUP(I170*(1.041),2)</f>
        <v>4788.6000000000004</v>
      </c>
      <c r="J171" s="183" t="s">
        <v>41</v>
      </c>
      <c r="K171" s="182">
        <f t="shared" ref="K171:K172" si="40">G171*I171</f>
        <v>220275.6</v>
      </c>
      <c r="L171" s="183" t="s">
        <v>41</v>
      </c>
      <c r="M171" s="190">
        <f>ROUNDUP((K171),-2)</f>
        <v>220300</v>
      </c>
      <c r="N171" s="191" t="s">
        <v>37</v>
      </c>
      <c r="O171" s="190"/>
      <c r="P171" s="192"/>
      <c r="Q171" s="192"/>
      <c r="R171" s="192"/>
      <c r="S171" s="550"/>
      <c r="T171" s="550"/>
      <c r="U171" s="550"/>
      <c r="V171" s="64"/>
      <c r="W171" s="161" t="str">
        <f t="shared" ref="W171:W172" si="41">""&amp;TEXT(G171,"0,0")&amp;" ед. х "&amp;TEXT(ROUND((K171/G171),2),"0,00")&amp;" руб. = "&amp;TEXT(ROUND((G171*(ROUND((K171/G171),2))),2),"0 000,00")&amp;" руб. = "&amp;TEXT(M171,"0 000,00")&amp;" руб."</f>
        <v>46,0 ед. х 4788,60 руб. = 220 275,60 руб. = 220 300,00 руб.</v>
      </c>
    </row>
    <row r="172" spans="1:23" ht="15" x14ac:dyDescent="0.25">
      <c r="A172" s="437"/>
      <c r="B172" s="554"/>
      <c r="C172" s="64"/>
      <c r="D172" s="556"/>
      <c r="E172" s="560"/>
      <c r="F172" s="187" t="s">
        <v>226</v>
      </c>
      <c r="G172" s="182">
        <v>46</v>
      </c>
      <c r="H172" s="183" t="str">
        <f>H170</f>
        <v>ед. х средняя цена с индексом потребительских цен</v>
      </c>
      <c r="I172" s="189">
        <f>ROUNDUP(I171*(1.041),2)</f>
        <v>4984.9400000000005</v>
      </c>
      <c r="J172" s="183" t="s">
        <v>41</v>
      </c>
      <c r="K172" s="182">
        <f t="shared" si="40"/>
        <v>229307.24000000002</v>
      </c>
      <c r="L172" s="183" t="s">
        <v>41</v>
      </c>
      <c r="M172" s="190">
        <f>ROUNDUP((K172),-2)</f>
        <v>229400</v>
      </c>
      <c r="N172" s="191" t="s">
        <v>37</v>
      </c>
      <c r="O172" s="190"/>
      <c r="P172" s="192"/>
      <c r="Q172" s="192"/>
      <c r="R172" s="192"/>
      <c r="S172" s="551"/>
      <c r="T172" s="551"/>
      <c r="U172" s="551"/>
      <c r="V172" s="64"/>
      <c r="W172" s="161" t="str">
        <f t="shared" si="41"/>
        <v>46,0 ед. х 4984,94 руб. = 229 307,24 руб. = 229 400,00 руб.</v>
      </c>
    </row>
    <row r="173" spans="1:23" ht="105" x14ac:dyDescent="0.25">
      <c r="A173" s="602" t="s">
        <v>21</v>
      </c>
      <c r="B173" s="553" t="s">
        <v>322</v>
      </c>
      <c r="C173" s="64"/>
      <c r="D173" s="555">
        <v>226</v>
      </c>
      <c r="E173" s="555">
        <v>244</v>
      </c>
      <c r="F173" s="557" t="s">
        <v>268</v>
      </c>
      <c r="G173" s="557"/>
      <c r="H173" s="557"/>
      <c r="I173" s="557"/>
      <c r="J173" s="557"/>
      <c r="K173" s="557"/>
      <c r="L173" s="557"/>
      <c r="M173" s="557"/>
      <c r="N173" s="557"/>
      <c r="O173" s="557"/>
      <c r="P173" s="557"/>
      <c r="Q173" s="557"/>
      <c r="R173" s="557"/>
      <c r="S173" s="550">
        <f>O175</f>
        <v>1023000</v>
      </c>
      <c r="T173" s="550">
        <f>O176</f>
        <v>1065000</v>
      </c>
      <c r="U173" s="550">
        <f>O177</f>
        <v>1108700</v>
      </c>
      <c r="V173" s="64"/>
      <c r="W173" s="161" t="s">
        <v>323</v>
      </c>
    </row>
    <row r="174" spans="1:23" ht="27.75" customHeight="1" outlineLevel="1" x14ac:dyDescent="0.25">
      <c r="A174" s="602"/>
      <c r="B174" s="554"/>
      <c r="C174" s="64"/>
      <c r="D174" s="556"/>
      <c r="E174" s="556"/>
      <c r="F174" s="181"/>
      <c r="G174" s="182">
        <v>30</v>
      </c>
      <c r="H174" s="183" t="s">
        <v>66</v>
      </c>
      <c r="I174" s="182">
        <v>1</v>
      </c>
      <c r="J174" s="183" t="s">
        <v>73</v>
      </c>
      <c r="K174" s="182">
        <f>ROUNDUP(((1023000)/30/1),2)</f>
        <v>34100</v>
      </c>
      <c r="L174" s="183" t="s">
        <v>41</v>
      </c>
      <c r="M174" s="182">
        <f>G174*I174*K174</f>
        <v>1023000</v>
      </c>
      <c r="N174" s="183" t="s">
        <v>37</v>
      </c>
      <c r="O174" s="184"/>
      <c r="P174" s="185"/>
      <c r="Q174" s="186"/>
      <c r="R174" s="181"/>
      <c r="S174" s="550"/>
      <c r="T174" s="550"/>
      <c r="U174" s="550"/>
      <c r="V174" s="64"/>
      <c r="W174" s="161"/>
    </row>
    <row r="175" spans="1:23" ht="15" x14ac:dyDescent="0.25">
      <c r="A175" s="602"/>
      <c r="B175" s="554"/>
      <c r="C175" s="64"/>
      <c r="D175" s="556"/>
      <c r="E175" s="556"/>
      <c r="F175" s="187" t="s">
        <v>151</v>
      </c>
      <c r="G175" s="182">
        <v>30</v>
      </c>
      <c r="H175" s="188" t="s">
        <v>66</v>
      </c>
      <c r="I175" s="182">
        <v>1</v>
      </c>
      <c r="J175" s="188" t="s">
        <v>283</v>
      </c>
      <c r="K175" s="189">
        <f>ROUNDUP(K174*(1.04-1.04+1),2)</f>
        <v>34100</v>
      </c>
      <c r="L175" s="183" t="s">
        <v>41</v>
      </c>
      <c r="M175" s="182">
        <f>G175*I175*K175</f>
        <v>1023000</v>
      </c>
      <c r="N175" s="183" t="s">
        <v>41</v>
      </c>
      <c r="O175" s="190">
        <f>ROUNDUP((M175),-2)</f>
        <v>1023000</v>
      </c>
      <c r="P175" s="191" t="s">
        <v>37</v>
      </c>
      <c r="Q175" s="192"/>
      <c r="R175" s="181"/>
      <c r="S175" s="550"/>
      <c r="T175" s="550"/>
      <c r="U175" s="550"/>
      <c r="V175" s="64"/>
      <c r="W175" s="161" t="str">
        <f>""&amp;TEXT(G175,"0,0")&amp;" чел. х "&amp;TEXT(I175,"0,0")&amp;" раз х "&amp;TEXT(ROUND((M175/I175/G175),2),"0,00")&amp;" руб. = "&amp;TEXT(ROUND((G175*I175*(ROUND((M175/I175/G175),2))),2),"0 000,00")&amp;" руб. = "&amp;TEXT(O175,"0 000,00")&amp;" руб."</f>
        <v>30,0 чел. х 1,0 раз х 34100,00 руб. = 1 023 000,00 руб. = 1 023 000,00 руб.</v>
      </c>
    </row>
    <row r="176" spans="1:23" ht="15" x14ac:dyDescent="0.25">
      <c r="A176" s="602"/>
      <c r="B176" s="554"/>
      <c r="C176" s="64"/>
      <c r="D176" s="556"/>
      <c r="E176" s="556"/>
      <c r="F176" s="187" t="s">
        <v>193</v>
      </c>
      <c r="G176" s="182">
        <v>30</v>
      </c>
      <c r="H176" s="183" t="str">
        <f>H175</f>
        <v>чел. х</v>
      </c>
      <c r="I176" s="182">
        <v>1</v>
      </c>
      <c r="J176" s="183" t="str">
        <f>J175</f>
        <v>раз х средняя цена с индексом потребительских цен</v>
      </c>
      <c r="K176" s="189">
        <f>ROUNDUP(K175*(1.041),2)</f>
        <v>35498.1</v>
      </c>
      <c r="L176" s="183" t="s">
        <v>41</v>
      </c>
      <c r="M176" s="182">
        <f>G176*I176*K176</f>
        <v>1064943</v>
      </c>
      <c r="N176" s="183" t="s">
        <v>41</v>
      </c>
      <c r="O176" s="190">
        <f>ROUNDUP((M176),-2)</f>
        <v>1065000</v>
      </c>
      <c r="P176" s="191" t="s">
        <v>37</v>
      </c>
      <c r="Q176" s="192"/>
      <c r="R176" s="181"/>
      <c r="S176" s="550"/>
      <c r="T176" s="550"/>
      <c r="U176" s="550"/>
      <c r="V176" s="64"/>
      <c r="W176" s="161" t="str">
        <f t="shared" ref="W176:W177" si="42">""&amp;TEXT(G176,"0,0")&amp;" чел. х "&amp;TEXT(I176,"0,0")&amp;" раз х "&amp;TEXT(ROUND((M176/I176/G176),2),"0,00")&amp;" руб. = "&amp;TEXT(ROUND((G176*I176*(ROUND((M176/I176/G176),2))),2),"0 000,00")&amp;" руб. = "&amp;TEXT(O176,"0 000,00")&amp;" руб."</f>
        <v>30,0 чел. х 1,0 раз х 35498,10 руб. = 1 064 943,00 руб. = 1 065 000,00 руб.</v>
      </c>
    </row>
    <row r="177" spans="1:23" ht="15" x14ac:dyDescent="0.25">
      <c r="A177" s="602"/>
      <c r="B177" s="554"/>
      <c r="C177" s="64"/>
      <c r="D177" s="556"/>
      <c r="E177" s="556"/>
      <c r="F177" s="187" t="s">
        <v>226</v>
      </c>
      <c r="G177" s="182">
        <v>30</v>
      </c>
      <c r="H177" s="183" t="str">
        <f>H175</f>
        <v>чел. х</v>
      </c>
      <c r="I177" s="182">
        <v>1</v>
      </c>
      <c r="J177" s="183" t="str">
        <f>J175</f>
        <v>раз х средняя цена с индексом потребительских цен</v>
      </c>
      <c r="K177" s="189">
        <f>ROUNDUP(K176*(1.041),2)</f>
        <v>36953.53</v>
      </c>
      <c r="L177" s="183" t="s">
        <v>41</v>
      </c>
      <c r="M177" s="182">
        <f t="shared" ref="M177" si="43">G177*I177*K177</f>
        <v>1108605.8999999999</v>
      </c>
      <c r="N177" s="183" t="s">
        <v>41</v>
      </c>
      <c r="O177" s="190">
        <f>ROUNDUP((M177),-2)</f>
        <v>1108700</v>
      </c>
      <c r="P177" s="191" t="s">
        <v>37</v>
      </c>
      <c r="Q177" s="192"/>
      <c r="R177" s="181"/>
      <c r="S177" s="550"/>
      <c r="T177" s="550"/>
      <c r="U177" s="550"/>
      <c r="V177" s="64"/>
      <c r="W177" s="161" t="str">
        <f t="shared" si="42"/>
        <v>30,0 чел. х 1,0 раз х 36953,53 руб. = 1 108 605,90 руб. = 1 108 700,00 руб.</v>
      </c>
    </row>
    <row r="178" spans="1:23" ht="90" collapsed="1" x14ac:dyDescent="0.25">
      <c r="A178" s="383" t="s">
        <v>22</v>
      </c>
      <c r="B178" s="553" t="s">
        <v>96</v>
      </c>
      <c r="C178" s="64"/>
      <c r="D178" s="555">
        <v>226</v>
      </c>
      <c r="E178" s="555">
        <v>244</v>
      </c>
      <c r="F178" s="557" t="s">
        <v>237</v>
      </c>
      <c r="G178" s="557"/>
      <c r="H178" s="557"/>
      <c r="I178" s="557"/>
      <c r="J178" s="557"/>
      <c r="K178" s="557"/>
      <c r="L178" s="557"/>
      <c r="M178" s="557"/>
      <c r="N178" s="557"/>
      <c r="O178" s="557"/>
      <c r="P178" s="557"/>
      <c r="Q178" s="557"/>
      <c r="R178" s="557"/>
      <c r="S178" s="550">
        <f>M180</f>
        <v>4400</v>
      </c>
      <c r="T178" s="550">
        <f>M181</f>
        <v>4500</v>
      </c>
      <c r="U178" s="550">
        <f>M182</f>
        <v>4700</v>
      </c>
      <c r="V178" s="64"/>
      <c r="W178" s="161" t="s">
        <v>324</v>
      </c>
    </row>
    <row r="179" spans="1:23" ht="15" hidden="1" outlineLevel="1" x14ac:dyDescent="0.25">
      <c r="A179" s="383"/>
      <c r="B179" s="554"/>
      <c r="C179" s="64"/>
      <c r="D179" s="556"/>
      <c r="E179" s="556"/>
      <c r="F179" s="181"/>
      <c r="G179" s="182">
        <v>2</v>
      </c>
      <c r="H179" s="183" t="s">
        <v>231</v>
      </c>
      <c r="I179" s="182">
        <f>ROUNDUP((2077.8),2)</f>
        <v>2077.8000000000002</v>
      </c>
      <c r="J179" s="183" t="s">
        <v>41</v>
      </c>
      <c r="K179" s="182">
        <f>ROUND((G179*I179),2)</f>
        <v>4155.6000000000004</v>
      </c>
      <c r="L179" s="183" t="s">
        <v>37</v>
      </c>
      <c r="M179" s="183"/>
      <c r="N179" s="183"/>
      <c r="O179" s="183"/>
      <c r="P179" s="183"/>
      <c r="Q179" s="183"/>
      <c r="R179" s="188"/>
      <c r="S179" s="550"/>
      <c r="T179" s="550"/>
      <c r="U179" s="550"/>
      <c r="V179" s="64"/>
      <c r="W179" s="161"/>
    </row>
    <row r="180" spans="1:23" ht="15" x14ac:dyDescent="0.25">
      <c r="A180" s="383"/>
      <c r="B180" s="554"/>
      <c r="C180" s="64"/>
      <c r="D180" s="556"/>
      <c r="E180" s="556"/>
      <c r="F180" s="187" t="s">
        <v>151</v>
      </c>
      <c r="G180" s="182">
        <v>2</v>
      </c>
      <c r="H180" s="188" t="s">
        <v>271</v>
      </c>
      <c r="I180" s="189">
        <f>ROUNDUP(I179*(1.04),2)</f>
        <v>2160.92</v>
      </c>
      <c r="J180" s="183" t="s">
        <v>41</v>
      </c>
      <c r="K180" s="182">
        <f>G180*I180</f>
        <v>4321.84</v>
      </c>
      <c r="L180" s="183" t="s">
        <v>41</v>
      </c>
      <c r="M180" s="190">
        <f>ROUNDUP((K180),-2)</f>
        <v>4400</v>
      </c>
      <c r="N180" s="191" t="s">
        <v>37</v>
      </c>
      <c r="O180" s="190"/>
      <c r="P180" s="192"/>
      <c r="Q180" s="192"/>
      <c r="R180" s="192"/>
      <c r="S180" s="550"/>
      <c r="T180" s="550"/>
      <c r="U180" s="550"/>
      <c r="V180" s="64"/>
      <c r="W180" s="161" t="str">
        <f>""&amp;TEXT(G180,"0,0")&amp;" ед. х "&amp;TEXT(ROUND((K180/G180),2),"0,00")&amp;" руб. = "&amp;TEXT(ROUND((G180*(ROUND((K180/G180),2))),2),"0 000,00")&amp;" руб. = "&amp;TEXT(M180,"0 000,00")&amp;" руб."</f>
        <v>2,0 ед. х 2160,92 руб. = 4 321,84 руб. = 4 400,00 руб.</v>
      </c>
    </row>
    <row r="181" spans="1:23" ht="15" x14ac:dyDescent="0.25">
      <c r="A181" s="383"/>
      <c r="B181" s="554"/>
      <c r="C181" s="64"/>
      <c r="D181" s="556"/>
      <c r="E181" s="556"/>
      <c r="F181" s="187" t="s">
        <v>193</v>
      </c>
      <c r="G181" s="182">
        <v>2</v>
      </c>
      <c r="H181" s="183" t="str">
        <f>H180</f>
        <v>ед. х средняя цена с индексом потребительских цен</v>
      </c>
      <c r="I181" s="189">
        <f>ROUNDUP(I180*(1.041),2)</f>
        <v>2249.5200000000004</v>
      </c>
      <c r="J181" s="183" t="s">
        <v>41</v>
      </c>
      <c r="K181" s="182">
        <f t="shared" ref="K181:K182" si="44">G181*I181</f>
        <v>4499.0400000000009</v>
      </c>
      <c r="L181" s="183" t="s">
        <v>41</v>
      </c>
      <c r="M181" s="190">
        <f>ROUNDUP((K181),-2)</f>
        <v>4500</v>
      </c>
      <c r="N181" s="191" t="s">
        <v>37</v>
      </c>
      <c r="O181" s="190"/>
      <c r="P181" s="192"/>
      <c r="Q181" s="192"/>
      <c r="R181" s="192"/>
      <c r="S181" s="550"/>
      <c r="T181" s="550"/>
      <c r="U181" s="550"/>
      <c r="V181" s="64"/>
      <c r="W181" s="161" t="str">
        <f t="shared" ref="W181:W182" si="45">""&amp;TEXT(G181,"0,0")&amp;" ед. х "&amp;TEXT(ROUND((K181/G181),2),"0,00")&amp;" руб. = "&amp;TEXT(ROUND((G181*(ROUND((K181/G181),2))),2),"0 000,00")&amp;" руб. = "&amp;TEXT(M181,"0 000,00")&amp;" руб."</f>
        <v>2,0 ед. х 2249,52 руб. = 4 499,04 руб. = 4 500,00 руб.</v>
      </c>
    </row>
    <row r="182" spans="1:23" ht="15" x14ac:dyDescent="0.25">
      <c r="A182" s="383"/>
      <c r="B182" s="554"/>
      <c r="C182" s="64"/>
      <c r="D182" s="556"/>
      <c r="E182" s="556"/>
      <c r="F182" s="187" t="s">
        <v>226</v>
      </c>
      <c r="G182" s="182">
        <v>2</v>
      </c>
      <c r="H182" s="183" t="str">
        <f>H180</f>
        <v>ед. х средняя цена с индексом потребительских цен</v>
      </c>
      <c r="I182" s="189">
        <f>ROUNDUP(I181*(1.041),2)</f>
        <v>2341.7600000000002</v>
      </c>
      <c r="J182" s="183" t="s">
        <v>41</v>
      </c>
      <c r="K182" s="182">
        <f t="shared" si="44"/>
        <v>4683.5200000000004</v>
      </c>
      <c r="L182" s="183" t="s">
        <v>41</v>
      </c>
      <c r="M182" s="190">
        <f>ROUNDUP((K182),-2)</f>
        <v>4700</v>
      </c>
      <c r="N182" s="191" t="s">
        <v>37</v>
      </c>
      <c r="O182" s="190"/>
      <c r="P182" s="192"/>
      <c r="Q182" s="192"/>
      <c r="R182" s="192"/>
      <c r="S182" s="551"/>
      <c r="T182" s="551"/>
      <c r="U182" s="551"/>
      <c r="V182" s="64"/>
      <c r="W182" s="161" t="str">
        <f t="shared" si="45"/>
        <v>2,0 ед. х 2341,76 руб. = 4 683,52 руб. = 4 700,00 руб.</v>
      </c>
    </row>
    <row r="183" spans="1:23" ht="90" x14ac:dyDescent="0.25">
      <c r="A183" s="388" t="s">
        <v>190</v>
      </c>
      <c r="B183" s="580" t="s">
        <v>325</v>
      </c>
      <c r="C183" s="180"/>
      <c r="D183" s="604">
        <v>226</v>
      </c>
      <c r="E183" s="604">
        <v>244</v>
      </c>
      <c r="F183" s="557" t="s">
        <v>268</v>
      </c>
      <c r="G183" s="557"/>
      <c r="H183" s="557"/>
      <c r="I183" s="557"/>
      <c r="J183" s="557"/>
      <c r="K183" s="557"/>
      <c r="L183" s="557"/>
      <c r="M183" s="557"/>
      <c r="N183" s="557"/>
      <c r="O183" s="557"/>
      <c r="P183" s="557"/>
      <c r="Q183" s="557"/>
      <c r="R183" s="557"/>
      <c r="S183" s="550">
        <f>M185</f>
        <v>1980000</v>
      </c>
      <c r="T183" s="550">
        <f>M186</f>
        <v>2061200</v>
      </c>
      <c r="U183" s="550">
        <f>M187</f>
        <v>2145700</v>
      </c>
      <c r="V183" s="64"/>
      <c r="W183" s="161" t="s">
        <v>326</v>
      </c>
    </row>
    <row r="184" spans="1:23" ht="18.75" customHeight="1" outlineLevel="1" x14ac:dyDescent="0.25">
      <c r="A184" s="389"/>
      <c r="B184" s="581"/>
      <c r="C184" s="180"/>
      <c r="D184" s="605"/>
      <c r="E184" s="605"/>
      <c r="F184" s="181"/>
      <c r="G184" s="182">
        <v>3000</v>
      </c>
      <c r="H184" s="183" t="s">
        <v>231</v>
      </c>
      <c r="I184" s="182">
        <f>ROUNDUP((1980000/G184),2)</f>
        <v>660</v>
      </c>
      <c r="J184" s="183" t="s">
        <v>41</v>
      </c>
      <c r="K184" s="182">
        <f>ROUND((G184*I184),2)</f>
        <v>1980000</v>
      </c>
      <c r="L184" s="183" t="s">
        <v>37</v>
      </c>
      <c r="M184" s="183"/>
      <c r="N184" s="183"/>
      <c r="O184" s="183"/>
      <c r="P184" s="183"/>
      <c r="Q184" s="183"/>
      <c r="R184" s="188"/>
      <c r="S184" s="550"/>
      <c r="T184" s="550"/>
      <c r="U184" s="550"/>
      <c r="V184" s="64"/>
      <c r="W184" s="161"/>
    </row>
    <row r="185" spans="1:23" ht="15" x14ac:dyDescent="0.25">
      <c r="A185" s="389"/>
      <c r="B185" s="581"/>
      <c r="C185" s="180"/>
      <c r="D185" s="605"/>
      <c r="E185" s="605"/>
      <c r="F185" s="187" t="s">
        <v>151</v>
      </c>
      <c r="G185" s="182">
        <v>3000</v>
      </c>
      <c r="H185" s="188" t="s">
        <v>271</v>
      </c>
      <c r="I185" s="189">
        <f>ROUNDUP(I184*(1.04-1.04+1),2)</f>
        <v>660</v>
      </c>
      <c r="J185" s="183" t="s">
        <v>41</v>
      </c>
      <c r="K185" s="182">
        <f>G185*I185</f>
        <v>1980000</v>
      </c>
      <c r="L185" s="183" t="s">
        <v>41</v>
      </c>
      <c r="M185" s="190">
        <f>ROUNDUP((K185),-2)</f>
        <v>1980000</v>
      </c>
      <c r="N185" s="191" t="s">
        <v>37</v>
      </c>
      <c r="O185" s="190"/>
      <c r="P185" s="192"/>
      <c r="Q185" s="192"/>
      <c r="R185" s="192"/>
      <c r="S185" s="550"/>
      <c r="T185" s="550"/>
      <c r="U185" s="550"/>
      <c r="V185" s="64"/>
      <c r="W185" s="161" t="str">
        <f>""&amp;TEXT(G185,"0,0")&amp;" ед. х "&amp;TEXT(ROUND((K185/G185),2),"0,00")&amp;" руб. = "&amp;TEXT(ROUND((G185*(ROUND((K185/G185),2))),2),"0 000,00")&amp;" руб. = "&amp;TEXT(M185,"0 000,00")&amp;" руб."</f>
        <v>3000,0 ед. х 660,00 руб. = 1 980 000,00 руб. = 1 980 000,00 руб.</v>
      </c>
    </row>
    <row r="186" spans="1:23" ht="15" x14ac:dyDescent="0.25">
      <c r="A186" s="389"/>
      <c r="B186" s="581"/>
      <c r="C186" s="180"/>
      <c r="D186" s="605"/>
      <c r="E186" s="605"/>
      <c r="F186" s="187" t="s">
        <v>193</v>
      </c>
      <c r="G186" s="182">
        <v>3000</v>
      </c>
      <c r="H186" s="183" t="str">
        <f>H185</f>
        <v>ед. х средняя цена с индексом потребительских цен</v>
      </c>
      <c r="I186" s="189">
        <f>ROUNDUP(I185*(1.041),2)</f>
        <v>687.06</v>
      </c>
      <c r="J186" s="183" t="s">
        <v>41</v>
      </c>
      <c r="K186" s="182">
        <f t="shared" ref="K186:K187" si="46">G186*I186</f>
        <v>2061179.9999999998</v>
      </c>
      <c r="L186" s="183" t="s">
        <v>41</v>
      </c>
      <c r="M186" s="190">
        <f>ROUNDUP((K186),-2)</f>
        <v>2061200</v>
      </c>
      <c r="N186" s="191" t="s">
        <v>37</v>
      </c>
      <c r="O186" s="190"/>
      <c r="P186" s="192"/>
      <c r="Q186" s="192"/>
      <c r="R186" s="192"/>
      <c r="S186" s="550"/>
      <c r="T186" s="550"/>
      <c r="U186" s="550"/>
      <c r="V186" s="64"/>
      <c r="W186" s="161" t="str">
        <f t="shared" ref="W186:W187" si="47">""&amp;TEXT(G186,"0,0")&amp;" ед. х "&amp;TEXT(ROUND((K186/G186),2),"0,00")&amp;" руб. = "&amp;TEXT(ROUND((G186*(ROUND((K186/G186),2))),2),"0 000,00")&amp;" руб. = "&amp;TEXT(M186,"0 000,00")&amp;" руб."</f>
        <v>3000,0 ед. х 687,06 руб. = 2 061 180,00 руб. = 2 061 200,00 руб.</v>
      </c>
    </row>
    <row r="187" spans="1:23" ht="15" x14ac:dyDescent="0.25">
      <c r="A187" s="390"/>
      <c r="B187" s="603"/>
      <c r="C187" s="180"/>
      <c r="D187" s="606"/>
      <c r="E187" s="606"/>
      <c r="F187" s="187" t="s">
        <v>226</v>
      </c>
      <c r="G187" s="182">
        <v>3000</v>
      </c>
      <c r="H187" s="183" t="str">
        <f>H185</f>
        <v>ед. х средняя цена с индексом потребительских цен</v>
      </c>
      <c r="I187" s="189">
        <f>ROUNDUP(I186*(1.041),2)</f>
        <v>715.23</v>
      </c>
      <c r="J187" s="183" t="s">
        <v>41</v>
      </c>
      <c r="K187" s="182">
        <f t="shared" si="46"/>
        <v>2145690</v>
      </c>
      <c r="L187" s="183" t="s">
        <v>41</v>
      </c>
      <c r="M187" s="190">
        <f>ROUNDUP((K187),-2)</f>
        <v>2145700</v>
      </c>
      <c r="N187" s="191" t="s">
        <v>37</v>
      </c>
      <c r="O187" s="190"/>
      <c r="P187" s="192"/>
      <c r="Q187" s="192"/>
      <c r="R187" s="192"/>
      <c r="S187" s="551"/>
      <c r="T187" s="551"/>
      <c r="U187" s="551"/>
      <c r="V187" s="64"/>
      <c r="W187" s="161" t="str">
        <f t="shared" si="47"/>
        <v>3000,0 ед. х 715,23 руб. = 2 145 690,00 руб. = 2 145 700,00 руб.</v>
      </c>
    </row>
    <row r="188" spans="1:23" ht="90" x14ac:dyDescent="0.25">
      <c r="A188" s="608" t="s">
        <v>327</v>
      </c>
      <c r="B188" s="580" t="s">
        <v>328</v>
      </c>
      <c r="C188" s="180"/>
      <c r="D188" s="604">
        <v>226</v>
      </c>
      <c r="E188" s="604">
        <v>244</v>
      </c>
      <c r="F188" s="557" t="s">
        <v>268</v>
      </c>
      <c r="G188" s="557"/>
      <c r="H188" s="557"/>
      <c r="I188" s="557"/>
      <c r="J188" s="557"/>
      <c r="K188" s="557"/>
      <c r="L188" s="557"/>
      <c r="M188" s="557"/>
      <c r="N188" s="557"/>
      <c r="O188" s="557"/>
      <c r="P188" s="557"/>
      <c r="Q188" s="557"/>
      <c r="R188" s="557"/>
      <c r="S188" s="550">
        <f>M190</f>
        <v>68200</v>
      </c>
      <c r="T188" s="550">
        <f>M191</f>
        <v>71000</v>
      </c>
      <c r="U188" s="550">
        <f>M192</f>
        <v>73900</v>
      </c>
      <c r="V188" s="64"/>
      <c r="W188" s="161" t="s">
        <v>329</v>
      </c>
    </row>
    <row r="189" spans="1:23" ht="18.75" customHeight="1" outlineLevel="1" x14ac:dyDescent="0.25">
      <c r="A189" s="609"/>
      <c r="B189" s="581"/>
      <c r="C189" s="180"/>
      <c r="D189" s="605"/>
      <c r="E189" s="605"/>
      <c r="F189" s="181"/>
      <c r="G189" s="182">
        <v>1</v>
      </c>
      <c r="H189" s="183" t="s">
        <v>231</v>
      </c>
      <c r="I189" s="182">
        <f>ROUNDUP((68166.67/G189),2)</f>
        <v>68166.67</v>
      </c>
      <c r="J189" s="183" t="s">
        <v>41</v>
      </c>
      <c r="K189" s="182">
        <f>ROUND((G189*I189),2)</f>
        <v>68166.67</v>
      </c>
      <c r="L189" s="183" t="s">
        <v>37</v>
      </c>
      <c r="M189" s="183"/>
      <c r="N189" s="183"/>
      <c r="O189" s="183"/>
      <c r="P189" s="183"/>
      <c r="Q189" s="183"/>
      <c r="R189" s="188"/>
      <c r="S189" s="550"/>
      <c r="T189" s="550"/>
      <c r="U189" s="550"/>
      <c r="V189" s="64"/>
      <c r="W189" s="161"/>
    </row>
    <row r="190" spans="1:23" ht="15" x14ac:dyDescent="0.25">
      <c r="A190" s="609"/>
      <c r="B190" s="581"/>
      <c r="C190" s="180"/>
      <c r="D190" s="605"/>
      <c r="E190" s="605"/>
      <c r="F190" s="187" t="s">
        <v>151</v>
      </c>
      <c r="G190" s="182">
        <v>1</v>
      </c>
      <c r="H190" s="188" t="s">
        <v>271</v>
      </c>
      <c r="I190" s="189">
        <f>ROUNDUP(I189*(1.04-1.04+1),2)</f>
        <v>68166.67</v>
      </c>
      <c r="J190" s="183" t="s">
        <v>41</v>
      </c>
      <c r="K190" s="182">
        <f>G190*I190</f>
        <v>68166.67</v>
      </c>
      <c r="L190" s="183" t="s">
        <v>41</v>
      </c>
      <c r="M190" s="190">
        <f>ROUNDUP((K190),-2)</f>
        <v>68200</v>
      </c>
      <c r="N190" s="191" t="s">
        <v>37</v>
      </c>
      <c r="O190" s="190"/>
      <c r="P190" s="192"/>
      <c r="Q190" s="192"/>
      <c r="R190" s="192"/>
      <c r="S190" s="550"/>
      <c r="T190" s="550"/>
      <c r="U190" s="550"/>
      <c r="V190" s="64"/>
      <c r="W190" s="161" t="str">
        <f>""&amp;TEXT(G190,"0,0")&amp;" ед. х "&amp;TEXT(ROUND((K190/G190),2),"0,00")&amp;" руб. = "&amp;TEXT(ROUND((G190*(ROUND((K190/G190),2))),2),"0 000,00")&amp;" руб. = "&amp;TEXT(M190,"0 000,00")&amp;" руб."</f>
        <v>1,0 ед. х 68166,67 руб. = 68 166,67 руб. = 68 200,00 руб.</v>
      </c>
    </row>
    <row r="191" spans="1:23" ht="15" x14ac:dyDescent="0.25">
      <c r="A191" s="609"/>
      <c r="B191" s="581"/>
      <c r="C191" s="180"/>
      <c r="D191" s="605"/>
      <c r="E191" s="605"/>
      <c r="F191" s="187" t="s">
        <v>193</v>
      </c>
      <c r="G191" s="182">
        <v>1</v>
      </c>
      <c r="H191" s="183" t="str">
        <f>H190</f>
        <v>ед. х средняя цена с индексом потребительских цен</v>
      </c>
      <c r="I191" s="189">
        <f>ROUNDUP(I190*(1.041),2)</f>
        <v>70961.509999999995</v>
      </c>
      <c r="J191" s="183" t="s">
        <v>41</v>
      </c>
      <c r="K191" s="182">
        <f t="shared" ref="K191:K192" si="48">G191*I191</f>
        <v>70961.509999999995</v>
      </c>
      <c r="L191" s="183" t="s">
        <v>41</v>
      </c>
      <c r="M191" s="190">
        <f>ROUNDUP((K191),-2)</f>
        <v>71000</v>
      </c>
      <c r="N191" s="191" t="s">
        <v>37</v>
      </c>
      <c r="O191" s="190"/>
      <c r="P191" s="192"/>
      <c r="Q191" s="192"/>
      <c r="R191" s="192"/>
      <c r="S191" s="550"/>
      <c r="T191" s="550"/>
      <c r="U191" s="550"/>
      <c r="V191" s="64"/>
      <c r="W191" s="161" t="str">
        <f t="shared" ref="W191:W192" si="49">""&amp;TEXT(G191,"0,0")&amp;" ед. х "&amp;TEXT(ROUND((K191/G191),2),"0,00")&amp;" руб. = "&amp;TEXT(ROUND((G191*(ROUND((K191/G191),2))),2),"0 000,00")&amp;" руб. = "&amp;TEXT(M191,"0 000,00")&amp;" руб."</f>
        <v>1,0 ед. х 70961,51 руб. = 70 961,51 руб. = 71 000,00 руб.</v>
      </c>
    </row>
    <row r="192" spans="1:23" ht="15" x14ac:dyDescent="0.25">
      <c r="A192" s="610"/>
      <c r="B192" s="603"/>
      <c r="C192" s="180"/>
      <c r="D192" s="606"/>
      <c r="E192" s="606"/>
      <c r="F192" s="187" t="s">
        <v>226</v>
      </c>
      <c r="G192" s="182">
        <v>1</v>
      </c>
      <c r="H192" s="183" t="str">
        <f>H190</f>
        <v>ед. х средняя цена с индексом потребительских цен</v>
      </c>
      <c r="I192" s="189">
        <f>ROUNDUP(I191*(1.041),2)</f>
        <v>73870.939999999988</v>
      </c>
      <c r="J192" s="183" t="s">
        <v>41</v>
      </c>
      <c r="K192" s="182">
        <f t="shared" si="48"/>
        <v>73870.939999999988</v>
      </c>
      <c r="L192" s="183" t="s">
        <v>41</v>
      </c>
      <c r="M192" s="190">
        <f>ROUNDUP((K192),-2)</f>
        <v>73900</v>
      </c>
      <c r="N192" s="191" t="s">
        <v>37</v>
      </c>
      <c r="O192" s="190"/>
      <c r="P192" s="192"/>
      <c r="Q192" s="192"/>
      <c r="R192" s="192"/>
      <c r="S192" s="551"/>
      <c r="T192" s="551"/>
      <c r="U192" s="551"/>
      <c r="V192" s="64"/>
      <c r="W192" s="161" t="str">
        <f t="shared" si="49"/>
        <v>1,0 ед. х 73870,94 руб. = 73 870,94 руб. = 73 900,00 руб.</v>
      </c>
    </row>
    <row r="193" spans="1:23" ht="10.5" customHeight="1" x14ac:dyDescent="0.25">
      <c r="A193" s="101"/>
      <c r="B193" s="101"/>
      <c r="C193" s="101"/>
      <c r="D193" s="101"/>
      <c r="E193" s="101"/>
      <c r="F193" s="101"/>
      <c r="G193" s="101"/>
      <c r="H193" s="101"/>
      <c r="I193" s="101"/>
      <c r="J193" s="101"/>
      <c r="K193" s="101"/>
      <c r="L193" s="101"/>
      <c r="M193" s="101"/>
      <c r="N193" s="101"/>
      <c r="O193" s="101"/>
      <c r="P193" s="101"/>
      <c r="Q193" s="101"/>
      <c r="R193" s="101"/>
      <c r="S193" s="101"/>
      <c r="T193" s="101"/>
      <c r="U193" s="101"/>
      <c r="V193" s="101"/>
      <c r="W193" s="101"/>
    </row>
    <row r="194" spans="1:23" ht="27.75" customHeight="1" x14ac:dyDescent="0.25">
      <c r="A194" s="607" t="s">
        <v>330</v>
      </c>
      <c r="B194" s="607"/>
      <c r="C194" s="607"/>
      <c r="D194" s="607"/>
      <c r="E194" s="607"/>
      <c r="F194" s="607"/>
      <c r="G194" s="607"/>
      <c r="H194" s="607"/>
      <c r="I194" s="607"/>
      <c r="J194" s="607"/>
      <c r="K194" s="607"/>
      <c r="L194" s="607"/>
      <c r="M194" s="607"/>
      <c r="N194" s="607"/>
      <c r="O194" s="607"/>
      <c r="P194" s="607"/>
      <c r="Q194" s="607"/>
      <c r="R194" s="607"/>
      <c r="S194" s="607"/>
      <c r="T194" s="607"/>
      <c r="U194" s="607"/>
      <c r="V194" s="607"/>
      <c r="W194" s="607"/>
    </row>
    <row r="195" spans="1:23" ht="10.5" customHeight="1" x14ac:dyDescent="0.25">
      <c r="A195" s="101"/>
      <c r="B195" s="101"/>
      <c r="C195" s="101"/>
      <c r="D195" s="101"/>
      <c r="E195" s="101"/>
      <c r="F195" s="101"/>
      <c r="G195" s="101"/>
      <c r="H195" s="101"/>
      <c r="I195" s="101"/>
      <c r="J195" s="101"/>
      <c r="K195" s="101"/>
      <c r="L195" s="101"/>
      <c r="M195" s="101"/>
      <c r="N195" s="101"/>
      <c r="O195" s="101"/>
      <c r="P195" s="101"/>
      <c r="Q195" s="101"/>
      <c r="R195" s="101"/>
      <c r="S195" s="101"/>
      <c r="T195" s="101"/>
      <c r="U195" s="101"/>
      <c r="V195" s="101"/>
      <c r="W195" s="101"/>
    </row>
    <row r="196" spans="1:23" ht="25.5" customHeight="1" x14ac:dyDescent="0.25">
      <c r="A196" s="102" t="s">
        <v>197</v>
      </c>
      <c r="W196" s="103" t="s">
        <v>196</v>
      </c>
    </row>
    <row r="198" spans="1:23" x14ac:dyDescent="0.25">
      <c r="A198" s="237">
        <v>44362</v>
      </c>
    </row>
    <row r="201" spans="1:23" x14ac:dyDescent="0.25">
      <c r="M201" s="238"/>
    </row>
  </sheetData>
  <autoFilter ref="D8:R182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299">
    <mergeCell ref="T188:T192"/>
    <mergeCell ref="U188:U192"/>
    <mergeCell ref="A194:W194"/>
    <mergeCell ref="A188:A192"/>
    <mergeCell ref="B188:B192"/>
    <mergeCell ref="D188:D192"/>
    <mergeCell ref="E188:E192"/>
    <mergeCell ref="F188:R188"/>
    <mergeCell ref="S188:S192"/>
    <mergeCell ref="A183:A187"/>
    <mergeCell ref="B183:B187"/>
    <mergeCell ref="D183:D187"/>
    <mergeCell ref="E183:E187"/>
    <mergeCell ref="F183:R183"/>
    <mergeCell ref="S183:S187"/>
    <mergeCell ref="T183:T187"/>
    <mergeCell ref="U183:U187"/>
    <mergeCell ref="A178:A182"/>
    <mergeCell ref="B178:B182"/>
    <mergeCell ref="D178:D182"/>
    <mergeCell ref="E178:E182"/>
    <mergeCell ref="F178:R178"/>
    <mergeCell ref="S178:S182"/>
    <mergeCell ref="A173:A177"/>
    <mergeCell ref="B173:B177"/>
    <mergeCell ref="D173:D177"/>
    <mergeCell ref="E173:E177"/>
    <mergeCell ref="F173:R173"/>
    <mergeCell ref="S173:S177"/>
    <mergeCell ref="T173:T177"/>
    <mergeCell ref="U173:U177"/>
    <mergeCell ref="T178:T182"/>
    <mergeCell ref="U178:U182"/>
    <mergeCell ref="T162:T166"/>
    <mergeCell ref="U162:U166"/>
    <mergeCell ref="F167:R167"/>
    <mergeCell ref="A168:A172"/>
    <mergeCell ref="B168:B172"/>
    <mergeCell ref="D168:D172"/>
    <mergeCell ref="E168:E172"/>
    <mergeCell ref="F168:R168"/>
    <mergeCell ref="S168:S172"/>
    <mergeCell ref="T168:T172"/>
    <mergeCell ref="A162:A166"/>
    <mergeCell ref="B162:B166"/>
    <mergeCell ref="D162:D166"/>
    <mergeCell ref="E162:E166"/>
    <mergeCell ref="F162:R162"/>
    <mergeCell ref="S162:S166"/>
    <mergeCell ref="U168:U172"/>
    <mergeCell ref="T152:T156"/>
    <mergeCell ref="U152:U156"/>
    <mergeCell ref="A157:A161"/>
    <mergeCell ref="B157:B161"/>
    <mergeCell ref="D157:D161"/>
    <mergeCell ref="E157:E161"/>
    <mergeCell ref="F157:R157"/>
    <mergeCell ref="S157:S161"/>
    <mergeCell ref="T157:T161"/>
    <mergeCell ref="U157:U161"/>
    <mergeCell ref="A152:A156"/>
    <mergeCell ref="B152:B156"/>
    <mergeCell ref="D152:D156"/>
    <mergeCell ref="E152:E156"/>
    <mergeCell ref="F152:R152"/>
    <mergeCell ref="S152:S156"/>
    <mergeCell ref="T142:T146"/>
    <mergeCell ref="U142:U146"/>
    <mergeCell ref="A147:A151"/>
    <mergeCell ref="B147:B151"/>
    <mergeCell ref="D147:D151"/>
    <mergeCell ref="E147:E151"/>
    <mergeCell ref="F147:R147"/>
    <mergeCell ref="S147:S151"/>
    <mergeCell ref="T147:T151"/>
    <mergeCell ref="U147:U151"/>
    <mergeCell ref="A142:A146"/>
    <mergeCell ref="B142:B146"/>
    <mergeCell ref="D142:D146"/>
    <mergeCell ref="E142:E146"/>
    <mergeCell ref="F142:R142"/>
    <mergeCell ref="S142:S146"/>
    <mergeCell ref="A137:A141"/>
    <mergeCell ref="B137:B141"/>
    <mergeCell ref="D137:D141"/>
    <mergeCell ref="E137:E141"/>
    <mergeCell ref="F137:R137"/>
    <mergeCell ref="S137:S141"/>
    <mergeCell ref="T137:T141"/>
    <mergeCell ref="U137:U141"/>
    <mergeCell ref="A132:A136"/>
    <mergeCell ref="B132:B136"/>
    <mergeCell ref="D132:D136"/>
    <mergeCell ref="E132:E136"/>
    <mergeCell ref="F132:R132"/>
    <mergeCell ref="S132:S136"/>
    <mergeCell ref="A127:A131"/>
    <mergeCell ref="B127:B131"/>
    <mergeCell ref="D127:D131"/>
    <mergeCell ref="E127:E131"/>
    <mergeCell ref="F127:R127"/>
    <mergeCell ref="S127:S131"/>
    <mergeCell ref="T127:T131"/>
    <mergeCell ref="U127:U131"/>
    <mergeCell ref="T132:T136"/>
    <mergeCell ref="U132:U136"/>
    <mergeCell ref="T117:T121"/>
    <mergeCell ref="U117:U121"/>
    <mergeCell ref="F122:R122"/>
    <mergeCell ref="A123:A126"/>
    <mergeCell ref="B123:B126"/>
    <mergeCell ref="D123:D126"/>
    <mergeCell ref="E123:E126"/>
    <mergeCell ref="F123:R123"/>
    <mergeCell ref="S123:S126"/>
    <mergeCell ref="T123:T126"/>
    <mergeCell ref="A117:A121"/>
    <mergeCell ref="B117:B121"/>
    <mergeCell ref="D117:D121"/>
    <mergeCell ref="E117:E121"/>
    <mergeCell ref="F117:R117"/>
    <mergeCell ref="S117:S121"/>
    <mergeCell ref="U123:U126"/>
    <mergeCell ref="A107:A111"/>
    <mergeCell ref="B107:B111"/>
    <mergeCell ref="D107:D111"/>
    <mergeCell ref="E107:E111"/>
    <mergeCell ref="F107:R107"/>
    <mergeCell ref="S107:S111"/>
    <mergeCell ref="T107:T111"/>
    <mergeCell ref="U107:U111"/>
    <mergeCell ref="A112:A116"/>
    <mergeCell ref="B112:B116"/>
    <mergeCell ref="D112:D116"/>
    <mergeCell ref="E112:E116"/>
    <mergeCell ref="F112:R112"/>
    <mergeCell ref="S112:S116"/>
    <mergeCell ref="T112:T116"/>
    <mergeCell ref="U112:U116"/>
    <mergeCell ref="A103:A106"/>
    <mergeCell ref="B103:B106"/>
    <mergeCell ref="D103:D106"/>
    <mergeCell ref="E103:E106"/>
    <mergeCell ref="F103:R103"/>
    <mergeCell ref="T92:T96"/>
    <mergeCell ref="U92:U96"/>
    <mergeCell ref="A97:A101"/>
    <mergeCell ref="B97:B101"/>
    <mergeCell ref="D97:D101"/>
    <mergeCell ref="E97:E101"/>
    <mergeCell ref="F97:R97"/>
    <mergeCell ref="S97:S101"/>
    <mergeCell ref="T97:T101"/>
    <mergeCell ref="U97:U101"/>
    <mergeCell ref="A92:A96"/>
    <mergeCell ref="B92:B96"/>
    <mergeCell ref="D92:D96"/>
    <mergeCell ref="E92:E96"/>
    <mergeCell ref="F92:R92"/>
    <mergeCell ref="S92:S96"/>
    <mergeCell ref="S103:S106"/>
    <mergeCell ref="T103:T106"/>
    <mergeCell ref="U103:U106"/>
    <mergeCell ref="A87:A91"/>
    <mergeCell ref="B87:B91"/>
    <mergeCell ref="D87:D91"/>
    <mergeCell ref="E87:E91"/>
    <mergeCell ref="F87:R87"/>
    <mergeCell ref="S87:S91"/>
    <mergeCell ref="T87:T91"/>
    <mergeCell ref="U87:U91"/>
    <mergeCell ref="F102:R102"/>
    <mergeCell ref="S77:S80"/>
    <mergeCell ref="T77:T80"/>
    <mergeCell ref="U77:U80"/>
    <mergeCell ref="F81:R81"/>
    <mergeCell ref="A82:A86"/>
    <mergeCell ref="B82:B86"/>
    <mergeCell ref="D82:D86"/>
    <mergeCell ref="E82:E86"/>
    <mergeCell ref="F82:R82"/>
    <mergeCell ref="S82:S86"/>
    <mergeCell ref="T82:T86"/>
    <mergeCell ref="U82:U86"/>
    <mergeCell ref="A77:A80"/>
    <mergeCell ref="B77:B80"/>
    <mergeCell ref="D77:D80"/>
    <mergeCell ref="E77:E80"/>
    <mergeCell ref="F77:R77"/>
    <mergeCell ref="S65:S69"/>
    <mergeCell ref="T65:T69"/>
    <mergeCell ref="U65:U69"/>
    <mergeCell ref="F76:R76"/>
    <mergeCell ref="A59:A63"/>
    <mergeCell ref="B59:B63"/>
    <mergeCell ref="D59:D63"/>
    <mergeCell ref="E59:E63"/>
    <mergeCell ref="F59:R59"/>
    <mergeCell ref="S59:S63"/>
    <mergeCell ref="T59:T63"/>
    <mergeCell ref="U59:U63"/>
    <mergeCell ref="F64:R64"/>
    <mergeCell ref="A70:A74"/>
    <mergeCell ref="B70:B74"/>
    <mergeCell ref="D70:D74"/>
    <mergeCell ref="E70:E74"/>
    <mergeCell ref="F70:R70"/>
    <mergeCell ref="F75:R75"/>
    <mergeCell ref="A65:A69"/>
    <mergeCell ref="B65:B69"/>
    <mergeCell ref="D65:D69"/>
    <mergeCell ref="E65:E69"/>
    <mergeCell ref="F65:R65"/>
    <mergeCell ref="F53:R53"/>
    <mergeCell ref="A54:A58"/>
    <mergeCell ref="B54:B58"/>
    <mergeCell ref="D54:D58"/>
    <mergeCell ref="E54:E58"/>
    <mergeCell ref="F54:R54"/>
    <mergeCell ref="U43:U47"/>
    <mergeCell ref="A48:A52"/>
    <mergeCell ref="B48:B52"/>
    <mergeCell ref="D48:D52"/>
    <mergeCell ref="E48:E52"/>
    <mergeCell ref="F48:R48"/>
    <mergeCell ref="S48:S52"/>
    <mergeCell ref="T48:T52"/>
    <mergeCell ref="U48:U52"/>
    <mergeCell ref="S54:S58"/>
    <mergeCell ref="T54:T58"/>
    <mergeCell ref="U54:U58"/>
    <mergeCell ref="T37:T41"/>
    <mergeCell ref="U37:U41"/>
    <mergeCell ref="F42:R42"/>
    <mergeCell ref="A43:A47"/>
    <mergeCell ref="B43:B47"/>
    <mergeCell ref="D43:D47"/>
    <mergeCell ref="E43:E47"/>
    <mergeCell ref="F43:R43"/>
    <mergeCell ref="S43:S47"/>
    <mergeCell ref="T43:T47"/>
    <mergeCell ref="A37:A41"/>
    <mergeCell ref="B37:B41"/>
    <mergeCell ref="D37:D41"/>
    <mergeCell ref="E37:E41"/>
    <mergeCell ref="F37:R37"/>
    <mergeCell ref="S37:S41"/>
    <mergeCell ref="T27:T31"/>
    <mergeCell ref="U27:U31"/>
    <mergeCell ref="A32:A36"/>
    <mergeCell ref="B32:B36"/>
    <mergeCell ref="D32:D36"/>
    <mergeCell ref="E32:E36"/>
    <mergeCell ref="F32:R32"/>
    <mergeCell ref="S32:S36"/>
    <mergeCell ref="T32:T36"/>
    <mergeCell ref="U32:U36"/>
    <mergeCell ref="A27:A31"/>
    <mergeCell ref="B27:B31"/>
    <mergeCell ref="D27:D31"/>
    <mergeCell ref="E27:E31"/>
    <mergeCell ref="F27:R27"/>
    <mergeCell ref="S27:S31"/>
    <mergeCell ref="W20:W21"/>
    <mergeCell ref="W22:W23"/>
    <mergeCell ref="F24:R24"/>
    <mergeCell ref="F25:R25"/>
    <mergeCell ref="F26:R26"/>
    <mergeCell ref="T13:T16"/>
    <mergeCell ref="U13:U16"/>
    <mergeCell ref="A17:A23"/>
    <mergeCell ref="B17:B23"/>
    <mergeCell ref="D17:D23"/>
    <mergeCell ref="E17:E23"/>
    <mergeCell ref="F17:R17"/>
    <mergeCell ref="S17:S23"/>
    <mergeCell ref="T17:T23"/>
    <mergeCell ref="U17:U23"/>
    <mergeCell ref="F11:R11"/>
    <mergeCell ref="F12:R12"/>
    <mergeCell ref="A13:A16"/>
    <mergeCell ref="B13:B16"/>
    <mergeCell ref="D13:D16"/>
    <mergeCell ref="E13:E16"/>
    <mergeCell ref="F13:R13"/>
    <mergeCell ref="S13:S16"/>
    <mergeCell ref="W18:W19"/>
    <mergeCell ref="A2:W2"/>
    <mergeCell ref="A3:W3"/>
    <mergeCell ref="A4:W4"/>
    <mergeCell ref="A5:W5"/>
    <mergeCell ref="A6:W6"/>
    <mergeCell ref="A8:A9"/>
    <mergeCell ref="B8:B9"/>
    <mergeCell ref="D8:D9"/>
    <mergeCell ref="E8:E9"/>
    <mergeCell ref="F8:R9"/>
    <mergeCell ref="S8:U8"/>
    <mergeCell ref="W8:W9"/>
  </mergeCells>
  <pageMargins left="0.31496062992125984" right="0.23622047244094491" top="0.78740157480314965" bottom="0.35433070866141736" header="0.31496062992125984" footer="0.19685039370078741"/>
  <pageSetup paperSize="9" scale="50" fitToWidth="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X202"/>
  <sheetViews>
    <sheetView view="pageBreakPreview" zoomScale="60" zoomScaleNormal="52" workbookViewId="0">
      <pane xSplit="2" ySplit="10" topLeftCell="C64" activePane="bottomRight" state="frozen"/>
      <selection pane="topRight" activeCell="C1" sqref="C1"/>
      <selection pane="bottomLeft" activeCell="A11" sqref="A11"/>
      <selection pane="bottomRight" activeCell="B76" sqref="B76"/>
    </sheetView>
  </sheetViews>
  <sheetFormatPr defaultColWidth="9.140625" defaultRowHeight="15.75" outlineLevelRow="1" outlineLevelCol="1" x14ac:dyDescent="0.25"/>
  <cols>
    <col min="1" max="1" width="9.5703125" style="55" customWidth="1"/>
    <col min="2" max="2" width="60.42578125" style="105" customWidth="1"/>
    <col min="3" max="3" width="0.28515625" style="55" customWidth="1" outlineLevel="1" collapsed="1"/>
    <col min="4" max="4" width="9" style="55" customWidth="1" outlineLevel="1"/>
    <col min="5" max="5" width="9" style="55" customWidth="1" outlineLevel="1" collapsed="1"/>
    <col min="6" max="6" width="25.140625" style="55" customWidth="1" outlineLevel="1"/>
    <col min="7" max="7" width="13.5703125" style="55" customWidth="1" outlineLevel="1"/>
    <col min="8" max="8" width="43.5703125" style="55" customWidth="1" outlineLevel="1"/>
    <col min="9" max="9" width="13.5703125" style="55" customWidth="1" outlineLevel="1"/>
    <col min="10" max="10" width="27.7109375" style="55" customWidth="1" outlineLevel="1"/>
    <col min="11" max="11" width="13.85546875" style="55" customWidth="1" outlineLevel="1"/>
    <col min="12" max="12" width="19.5703125" style="55" customWidth="1" outlineLevel="1"/>
    <col min="13" max="13" width="14.140625" style="55" customWidth="1" outlineLevel="1"/>
    <col min="14" max="14" width="6.42578125" style="55" customWidth="1" outlineLevel="1"/>
    <col min="15" max="15" width="24.85546875" style="55" customWidth="1" outlineLevel="1"/>
    <col min="16" max="16" width="19.7109375" style="55" customWidth="1" outlineLevel="1"/>
    <col min="17" max="17" width="16.5703125" style="55" customWidth="1" outlineLevel="1"/>
    <col min="18" max="18" width="19.140625" style="55" customWidth="1" outlineLevel="1"/>
    <col min="19" max="21" width="21.140625" style="105" customWidth="1"/>
    <col min="22" max="22" width="0.42578125" style="55" hidden="1" customWidth="1"/>
    <col min="23" max="23" width="150.42578125" style="55" customWidth="1" collapsed="1"/>
    <col min="24" max="24" width="9.85546875" style="55" customWidth="1"/>
    <col min="25" max="25" width="14.140625" style="55" customWidth="1"/>
    <col min="26" max="26" width="15.42578125" style="55" customWidth="1"/>
    <col min="27" max="16384" width="9.140625" style="55"/>
  </cols>
  <sheetData>
    <row r="1" spans="1:23" ht="26.25" customHeight="1" x14ac:dyDescent="0.25">
      <c r="A1" s="59"/>
    </row>
    <row r="2" spans="1:23" s="154" customFormat="1" ht="24" customHeight="1" x14ac:dyDescent="0.25">
      <c r="A2" s="450" t="s">
        <v>0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  <c r="V2" s="534"/>
      <c r="W2" s="534"/>
    </row>
    <row r="3" spans="1:23" s="154" customFormat="1" ht="29.25" customHeight="1" x14ac:dyDescent="0.25">
      <c r="A3" s="452" t="s">
        <v>265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  <c r="U3" s="534"/>
      <c r="V3" s="534"/>
      <c r="W3" s="534"/>
    </row>
    <row r="4" spans="1:23" s="154" customFormat="1" ht="27.75" customHeight="1" x14ac:dyDescent="0.25">
      <c r="A4" s="452" t="s">
        <v>2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4"/>
      <c r="W4" s="534"/>
    </row>
    <row r="5" spans="1:23" ht="31.5" customHeight="1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</row>
    <row r="6" spans="1:23" s="154" customFormat="1" ht="24" customHeight="1" x14ac:dyDescent="0.25">
      <c r="A6" s="535" t="s">
        <v>266</v>
      </c>
      <c r="B6" s="536"/>
      <c r="C6" s="536"/>
      <c r="D6" s="536"/>
      <c r="E6" s="536"/>
      <c r="F6" s="536"/>
      <c r="G6" s="536"/>
      <c r="H6" s="536"/>
      <c r="I6" s="536"/>
      <c r="J6" s="536"/>
      <c r="K6" s="536"/>
      <c r="L6" s="536"/>
      <c r="M6" s="536"/>
      <c r="N6" s="536"/>
      <c r="O6" s="536"/>
      <c r="P6" s="536"/>
      <c r="Q6" s="536"/>
      <c r="R6" s="536"/>
      <c r="S6" s="536"/>
      <c r="T6" s="536"/>
      <c r="U6" s="536"/>
      <c r="V6" s="536"/>
      <c r="W6" s="536"/>
    </row>
    <row r="7" spans="1:23" ht="22.5" customHeight="1" x14ac:dyDescent="0.25">
      <c r="A7" s="59"/>
    </row>
    <row r="8" spans="1:23" ht="33.75" customHeight="1" x14ac:dyDescent="0.25">
      <c r="A8" s="383" t="s">
        <v>24</v>
      </c>
      <c r="B8" s="537" t="s">
        <v>4</v>
      </c>
      <c r="C8" s="142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537" t="s">
        <v>23</v>
      </c>
      <c r="T8" s="537"/>
      <c r="U8" s="537"/>
      <c r="V8" s="142"/>
      <c r="W8" s="383" t="s">
        <v>120</v>
      </c>
    </row>
    <row r="9" spans="1:23" ht="30.75" customHeight="1" x14ac:dyDescent="0.25">
      <c r="A9" s="383"/>
      <c r="B9" s="537"/>
      <c r="C9" s="142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155" t="s">
        <v>179</v>
      </c>
      <c r="T9" s="155" t="s">
        <v>188</v>
      </c>
      <c r="U9" s="155" t="s">
        <v>224</v>
      </c>
      <c r="V9" s="142"/>
      <c r="W9" s="383"/>
    </row>
    <row r="10" spans="1:23" ht="21.75" customHeight="1" x14ac:dyDescent="0.25">
      <c r="A10" s="142">
        <v>1</v>
      </c>
      <c r="B10" s="151">
        <v>2</v>
      </c>
      <c r="C10" s="142"/>
      <c r="D10" s="142"/>
      <c r="E10" s="142"/>
      <c r="F10" s="142"/>
      <c r="G10" s="142"/>
      <c r="H10" s="142"/>
      <c r="I10" s="142"/>
      <c r="J10" s="142"/>
      <c r="K10" s="142"/>
      <c r="L10" s="142"/>
      <c r="M10" s="142"/>
      <c r="N10" s="142"/>
      <c r="O10" s="142"/>
      <c r="P10" s="142"/>
      <c r="Q10" s="142"/>
      <c r="R10" s="142"/>
      <c r="S10" s="151">
        <v>3</v>
      </c>
      <c r="T10" s="151">
        <v>4</v>
      </c>
      <c r="U10" s="151">
        <v>5</v>
      </c>
      <c r="V10" s="142"/>
      <c r="W10" s="61">
        <v>6</v>
      </c>
    </row>
    <row r="11" spans="1:23" ht="31.5" x14ac:dyDescent="0.25">
      <c r="A11" s="62">
        <v>1</v>
      </c>
      <c r="B11" s="115" t="s">
        <v>86</v>
      </c>
      <c r="C11" s="63"/>
      <c r="D11" s="149" t="s">
        <v>35</v>
      </c>
      <c r="E11" s="149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108">
        <f>S12</f>
        <v>1688500</v>
      </c>
      <c r="T11" s="108">
        <f t="shared" ref="T11:U11" si="0">T12</f>
        <v>1758100</v>
      </c>
      <c r="U11" s="108">
        <f t="shared" si="0"/>
        <v>1830200</v>
      </c>
      <c r="V11" s="63"/>
      <c r="W11" s="150" t="str">
        <f>"Нормативные "&amp;TEXT(B11,"0")&amp;" включают в себя:
нормативные "&amp;TEXT(B12,"0")&amp;""</f>
        <v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v>
      </c>
    </row>
    <row r="12" spans="1:23" ht="45" x14ac:dyDescent="0.25">
      <c r="A12" s="156" t="s">
        <v>5</v>
      </c>
      <c r="B12" s="157" t="s">
        <v>92</v>
      </c>
      <c r="C12" s="158"/>
      <c r="D12" s="159" t="s">
        <v>35</v>
      </c>
      <c r="E12" s="159" t="s">
        <v>35</v>
      </c>
      <c r="F12" s="538"/>
      <c r="G12" s="539"/>
      <c r="H12" s="539"/>
      <c r="I12" s="539"/>
      <c r="J12" s="539"/>
      <c r="K12" s="539"/>
      <c r="L12" s="539"/>
      <c r="M12" s="539"/>
      <c r="N12" s="539"/>
      <c r="O12" s="539"/>
      <c r="P12" s="539"/>
      <c r="Q12" s="539"/>
      <c r="R12" s="539"/>
      <c r="S12" s="160">
        <f>SUM(S13,S17)</f>
        <v>1688500</v>
      </c>
      <c r="T12" s="160">
        <f>SUM(T13,T17)</f>
        <v>1758100</v>
      </c>
      <c r="U12" s="160">
        <f>SUM(U13,U17)</f>
        <v>1830200</v>
      </c>
      <c r="V12" s="158"/>
      <c r="W12" s="161" t="str">
        <f>"Нормативные "&amp;TEXT(B12,"0")&amp;" включают в себя:
нормативные "&amp;TEXT(B13,"0")&amp;";
нормативные "&amp;TEXT(B17,"0")&amp;""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13" spans="1:23" ht="75" x14ac:dyDescent="0.25">
      <c r="A13" s="438" t="s">
        <v>6</v>
      </c>
      <c r="B13" s="540" t="s">
        <v>91</v>
      </c>
      <c r="C13" s="162"/>
      <c r="D13" s="542">
        <v>346</v>
      </c>
      <c r="E13" s="542">
        <v>242</v>
      </c>
      <c r="F13" s="544" t="s">
        <v>152</v>
      </c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4"/>
      <c r="S13" s="545">
        <f>M14</f>
        <v>84600</v>
      </c>
      <c r="T13" s="545">
        <f>M15</f>
        <v>88100</v>
      </c>
      <c r="U13" s="545">
        <f>M16</f>
        <v>91700</v>
      </c>
      <c r="V13" s="162"/>
      <c r="W13" s="163" t="s">
        <v>39</v>
      </c>
    </row>
    <row r="14" spans="1:23" ht="15" x14ac:dyDescent="0.25">
      <c r="A14" s="438"/>
      <c r="B14" s="541"/>
      <c r="C14" s="162"/>
      <c r="D14" s="543"/>
      <c r="E14" s="543"/>
      <c r="F14" s="164" t="s">
        <v>151</v>
      </c>
      <c r="G14" s="165">
        <v>1</v>
      </c>
      <c r="H14" s="166" t="s">
        <v>40</v>
      </c>
      <c r="I14" s="165">
        <f>8142421.47*1.04</f>
        <v>8468118.3288000003</v>
      </c>
      <c r="J14" s="166" t="s">
        <v>41</v>
      </c>
      <c r="K14" s="165">
        <f>ROUND((G14%*I14),2)</f>
        <v>84681.18</v>
      </c>
      <c r="L14" s="166" t="s">
        <v>41</v>
      </c>
      <c r="M14" s="167">
        <f>ROUNDDOWN((K14),-2)</f>
        <v>84600</v>
      </c>
      <c r="N14" s="168" t="s">
        <v>37</v>
      </c>
      <c r="O14" s="169"/>
      <c r="P14" s="169"/>
      <c r="Q14" s="169"/>
      <c r="R14" s="169"/>
      <c r="S14" s="545"/>
      <c r="T14" s="545"/>
      <c r="U14" s="545"/>
      <c r="V14" s="162"/>
      <c r="W14" s="163" t="str">
        <f>"норматив "&amp;TEXT(G14,"0,0")&amp;" % х "&amp;TEXT(I14,"0 000,00")&amp;" руб. = "&amp;TEXT(K14,"0 000,00")&amp;" руб. = "&amp;TEXT(M14,"0 000,00")&amp;" руб."</f>
        <v>норматив 1,0 % х 8 468 118,33 руб. = 84 681,18 руб. = 84 600,00 руб.</v>
      </c>
    </row>
    <row r="15" spans="1:23" ht="15" x14ac:dyDescent="0.25">
      <c r="A15" s="438"/>
      <c r="B15" s="541"/>
      <c r="C15" s="162"/>
      <c r="D15" s="543"/>
      <c r="E15" s="543"/>
      <c r="F15" s="164" t="s">
        <v>193</v>
      </c>
      <c r="G15" s="165">
        <v>1</v>
      </c>
      <c r="H15" s="166" t="s">
        <v>40</v>
      </c>
      <c r="I15" s="165">
        <f>I14*1.041</f>
        <v>8815311.180280799</v>
      </c>
      <c r="J15" s="166" t="s">
        <v>41</v>
      </c>
      <c r="K15" s="165">
        <f>ROUND((G15%*I15),2)</f>
        <v>88153.11</v>
      </c>
      <c r="L15" s="166" t="s">
        <v>41</v>
      </c>
      <c r="M15" s="167">
        <f>ROUNDDOWN((K15),-2)</f>
        <v>88100</v>
      </c>
      <c r="N15" s="168" t="s">
        <v>37</v>
      </c>
      <c r="O15" s="169"/>
      <c r="P15" s="169"/>
      <c r="Q15" s="169"/>
      <c r="R15" s="169"/>
      <c r="S15" s="545"/>
      <c r="T15" s="545"/>
      <c r="U15" s="545"/>
      <c r="V15" s="162"/>
      <c r="W15" s="163" t="str">
        <f>"норматив "&amp;TEXT(G15,"0,0")&amp;" % х "&amp;TEXT(I15,"0 000,00")&amp;" руб. = "&amp;TEXT(K15,"0 000,00")&amp;" руб. = "&amp;TEXT(M15,"0 000,00")&amp;" руб."</f>
        <v>норматив 1,0 % х 8 815 311,18 руб. = 88 153,11 руб. = 88 100,00 руб.</v>
      </c>
    </row>
    <row r="16" spans="1:23" ht="15" x14ac:dyDescent="0.25">
      <c r="A16" s="438"/>
      <c r="B16" s="541"/>
      <c r="C16" s="162"/>
      <c r="D16" s="543"/>
      <c r="E16" s="543"/>
      <c r="F16" s="164" t="s">
        <v>226</v>
      </c>
      <c r="G16" s="165">
        <v>1</v>
      </c>
      <c r="H16" s="166" t="s">
        <v>40</v>
      </c>
      <c r="I16" s="165">
        <f>I15*1.041</f>
        <v>9176738.9386723116</v>
      </c>
      <c r="J16" s="166" t="s">
        <v>41</v>
      </c>
      <c r="K16" s="165">
        <f>ROUND((G16%*I16),2)</f>
        <v>91767.39</v>
      </c>
      <c r="L16" s="166" t="s">
        <v>41</v>
      </c>
      <c r="M16" s="167">
        <f>ROUNDDOWN((K16),-2)</f>
        <v>91700</v>
      </c>
      <c r="N16" s="168" t="s">
        <v>37</v>
      </c>
      <c r="O16" s="169"/>
      <c r="P16" s="169"/>
      <c r="Q16" s="169"/>
      <c r="R16" s="169"/>
      <c r="S16" s="545"/>
      <c r="T16" s="545"/>
      <c r="U16" s="545"/>
      <c r="V16" s="162"/>
      <c r="W16" s="163" t="str">
        <f>"норматив "&amp;TEXT(G16,"0,0")&amp;" % х "&amp;TEXT(I16,"0 000,00")&amp;" руб. = "&amp;TEXT(K16,"0 000,00")&amp;" руб. = "&amp;TEXT(M16,"0 000,00")&amp;" руб."</f>
        <v>норматив 1,0 % х 9 176 738,94 руб. = 91 767,39 руб. = 91 700,00 руб.</v>
      </c>
    </row>
    <row r="17" spans="1:23" ht="135" x14ac:dyDescent="0.25">
      <c r="A17" s="438" t="s">
        <v>225</v>
      </c>
      <c r="B17" s="540" t="s">
        <v>123</v>
      </c>
      <c r="C17" s="170"/>
      <c r="D17" s="542">
        <v>346</v>
      </c>
      <c r="E17" s="542">
        <v>242</v>
      </c>
      <c r="F17" s="544" t="s">
        <v>47</v>
      </c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/>
      <c r="S17" s="545">
        <f>M19</f>
        <v>1603900</v>
      </c>
      <c r="T17" s="545">
        <f>M21</f>
        <v>1670000</v>
      </c>
      <c r="U17" s="545">
        <f>M23</f>
        <v>1738500</v>
      </c>
      <c r="V17" s="170"/>
      <c r="W17" s="163" t="s">
        <v>46</v>
      </c>
    </row>
    <row r="18" spans="1:23" ht="15" x14ac:dyDescent="0.25">
      <c r="A18" s="438"/>
      <c r="B18" s="541"/>
      <c r="C18" s="170"/>
      <c r="D18" s="543"/>
      <c r="E18" s="543"/>
      <c r="F18" s="164" t="s">
        <v>156</v>
      </c>
      <c r="G18" s="165">
        <v>25101</v>
      </c>
      <c r="H18" s="166" t="s">
        <v>42</v>
      </c>
      <c r="I18" s="165">
        <v>213</v>
      </c>
      <c r="J18" s="166" t="s">
        <v>45</v>
      </c>
      <c r="K18" s="165">
        <v>5</v>
      </c>
      <c r="L18" s="166" t="s">
        <v>43</v>
      </c>
      <c r="M18" s="165">
        <v>0</v>
      </c>
      <c r="N18" s="166" t="s">
        <v>44</v>
      </c>
      <c r="O18" s="165">
        <f>ROUND((G18*(I18/K18+M18)),2)</f>
        <v>1069302.6000000001</v>
      </c>
      <c r="P18" s="166" t="s">
        <v>37</v>
      </c>
      <c r="Q18" s="166"/>
      <c r="R18" s="171"/>
      <c r="S18" s="545"/>
      <c r="T18" s="545"/>
      <c r="U18" s="545"/>
      <c r="V18" s="170"/>
      <c r="W18" s="546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25 101,00 руб. х (213,00 шт.ед. : срок 5 лет + 0,00 шт.ед.) = 1 069 302,60 руб.) = 1 603 953,90 руб. = 1 603 900,00 руб.</v>
      </c>
    </row>
    <row r="19" spans="1:23" ht="15" x14ac:dyDescent="0.25">
      <c r="A19" s="438"/>
      <c r="B19" s="541"/>
      <c r="C19" s="170"/>
      <c r="D19" s="543"/>
      <c r="E19" s="543"/>
      <c r="F19" s="164" t="s">
        <v>227</v>
      </c>
      <c r="G19" s="165">
        <v>150</v>
      </c>
      <c r="H19" s="166" t="s">
        <v>40</v>
      </c>
      <c r="I19" s="165">
        <f>O18</f>
        <v>1069302.6000000001</v>
      </c>
      <c r="J19" s="166" t="s">
        <v>41</v>
      </c>
      <c r="K19" s="165">
        <f>ROUND((G19%*I19),2)</f>
        <v>1603953.9</v>
      </c>
      <c r="L19" s="166" t="s">
        <v>41</v>
      </c>
      <c r="M19" s="167">
        <f>ROUNDDOWN((K19),-2)</f>
        <v>1603900</v>
      </c>
      <c r="N19" s="168" t="s">
        <v>37</v>
      </c>
      <c r="O19" s="169"/>
      <c r="P19" s="169"/>
      <c r="Q19" s="169"/>
      <c r="R19" s="169"/>
      <c r="S19" s="545"/>
      <c r="T19" s="545"/>
      <c r="U19" s="545"/>
      <c r="V19" s="170"/>
      <c r="W19" s="547"/>
    </row>
    <row r="20" spans="1:23" ht="15" x14ac:dyDescent="0.25">
      <c r="A20" s="438"/>
      <c r="B20" s="541"/>
      <c r="C20" s="170"/>
      <c r="D20" s="543"/>
      <c r="E20" s="543"/>
      <c r="F20" s="164" t="s">
        <v>228</v>
      </c>
      <c r="G20" s="165">
        <v>26135</v>
      </c>
      <c r="H20" s="166" t="s">
        <v>42</v>
      </c>
      <c r="I20" s="165">
        <v>213</v>
      </c>
      <c r="J20" s="166" t="s">
        <v>45</v>
      </c>
      <c r="K20" s="165">
        <v>5</v>
      </c>
      <c r="L20" s="166" t="s">
        <v>43</v>
      </c>
      <c r="M20" s="165">
        <v>0</v>
      </c>
      <c r="N20" s="166" t="s">
        <v>44</v>
      </c>
      <c r="O20" s="165">
        <f>ROUND((G20*(I20/K20+M20)),2)</f>
        <v>1113351</v>
      </c>
      <c r="P20" s="166" t="s">
        <v>37</v>
      </c>
      <c r="Q20" s="166"/>
      <c r="R20" s="171"/>
      <c r="S20" s="545"/>
      <c r="T20" s="545"/>
      <c r="U20" s="545"/>
      <c r="V20" s="170"/>
      <c r="W20" s="546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26 135,00 руб. х (213,00 шт.ед. : срок 5 лет + 0,00 шт.ед.) = 1 113 351,00 руб.) = 1 670 026,50 руб. = 1 670 000,00 руб.</v>
      </c>
    </row>
    <row r="21" spans="1:23" ht="15" x14ac:dyDescent="0.25">
      <c r="A21" s="438"/>
      <c r="B21" s="541"/>
      <c r="C21" s="170"/>
      <c r="D21" s="543"/>
      <c r="E21" s="543"/>
      <c r="F21" s="164" t="s">
        <v>193</v>
      </c>
      <c r="G21" s="165">
        <v>150</v>
      </c>
      <c r="H21" s="166" t="s">
        <v>40</v>
      </c>
      <c r="I21" s="165">
        <f>O20</f>
        <v>1113351</v>
      </c>
      <c r="J21" s="166" t="s">
        <v>41</v>
      </c>
      <c r="K21" s="165">
        <f>ROUND((G21%*I21),2)</f>
        <v>1670026.5</v>
      </c>
      <c r="L21" s="166" t="s">
        <v>41</v>
      </c>
      <c r="M21" s="167">
        <f>ROUNDDOWN((K21),-2)</f>
        <v>1670000</v>
      </c>
      <c r="N21" s="168" t="s">
        <v>37</v>
      </c>
      <c r="O21" s="169"/>
      <c r="P21" s="169"/>
      <c r="Q21" s="169"/>
      <c r="R21" s="169"/>
      <c r="S21" s="549"/>
      <c r="T21" s="549"/>
      <c r="U21" s="549"/>
      <c r="V21" s="170"/>
      <c r="W21" s="547"/>
    </row>
    <row r="22" spans="1:23" ht="15" x14ac:dyDescent="0.25">
      <c r="A22" s="438"/>
      <c r="B22" s="541"/>
      <c r="C22" s="170"/>
      <c r="D22" s="543"/>
      <c r="E22" s="543"/>
      <c r="F22" s="164" t="s">
        <v>229</v>
      </c>
      <c r="G22" s="165">
        <v>27207</v>
      </c>
      <c r="H22" s="166" t="s">
        <v>42</v>
      </c>
      <c r="I22" s="165">
        <v>213</v>
      </c>
      <c r="J22" s="166" t="s">
        <v>45</v>
      </c>
      <c r="K22" s="165">
        <v>5</v>
      </c>
      <c r="L22" s="166" t="s">
        <v>43</v>
      </c>
      <c r="M22" s="165">
        <v>0</v>
      </c>
      <c r="N22" s="166" t="s">
        <v>44</v>
      </c>
      <c r="O22" s="165">
        <f>ROUND((G22*(I22/K22+M22)),2)</f>
        <v>1159018.2</v>
      </c>
      <c r="P22" s="166" t="s">
        <v>37</v>
      </c>
      <c r="Q22" s="166"/>
      <c r="R22" s="171"/>
      <c r="S22" s="549"/>
      <c r="T22" s="549"/>
      <c r="U22" s="549"/>
      <c r="V22" s="170"/>
      <c r="W22" s="546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27 207,00 руб. х (213,00 шт.ед. : срок 5 лет + 0,00 шт.ед.) = 1 159 018,20 руб.) = 1 738 527,30 руб. = 1 738 500,00 руб.</v>
      </c>
    </row>
    <row r="23" spans="1:23" x14ac:dyDescent="0.25">
      <c r="A23" s="438"/>
      <c r="B23" s="541"/>
      <c r="C23" s="162"/>
      <c r="D23" s="543"/>
      <c r="E23" s="543"/>
      <c r="F23" s="164" t="s">
        <v>226</v>
      </c>
      <c r="G23" s="165">
        <v>150</v>
      </c>
      <c r="H23" s="166" t="s">
        <v>40</v>
      </c>
      <c r="I23" s="165">
        <f>O22</f>
        <v>1159018.2</v>
      </c>
      <c r="J23" s="166" t="s">
        <v>41</v>
      </c>
      <c r="K23" s="172">
        <f>ROUND((G23%*I23),2)</f>
        <v>1738527.3</v>
      </c>
      <c r="L23" s="166" t="s">
        <v>41</v>
      </c>
      <c r="M23" s="167">
        <f>ROUNDDOWN((K23),-2)</f>
        <v>1738500</v>
      </c>
      <c r="N23" s="168" t="s">
        <v>37</v>
      </c>
      <c r="O23" s="169"/>
      <c r="P23" s="169"/>
      <c r="Q23" s="169"/>
      <c r="R23" s="169"/>
      <c r="S23" s="549"/>
      <c r="T23" s="549"/>
      <c r="U23" s="549"/>
      <c r="V23" s="162"/>
      <c r="W23" s="547"/>
    </row>
    <row r="24" spans="1:23" ht="78.75" x14ac:dyDescent="0.25">
      <c r="A24" s="173">
        <v>2</v>
      </c>
      <c r="B24" s="174" t="s">
        <v>118</v>
      </c>
      <c r="C24" s="175"/>
      <c r="D24" s="159" t="s">
        <v>35</v>
      </c>
      <c r="E24" s="159" t="s">
        <v>35</v>
      </c>
      <c r="F24" s="548"/>
      <c r="G24" s="539"/>
      <c r="H24" s="539"/>
      <c r="I24" s="539"/>
      <c r="J24" s="539"/>
      <c r="K24" s="539"/>
      <c r="L24" s="539"/>
      <c r="M24" s="539"/>
      <c r="N24" s="539"/>
      <c r="O24" s="539"/>
      <c r="P24" s="539"/>
      <c r="Q24" s="539"/>
      <c r="R24" s="539"/>
      <c r="S24" s="176">
        <f>SUM(S25,S76,S103,S123,S168)</f>
        <v>11053900</v>
      </c>
      <c r="T24" s="176">
        <f>SUM(T25,T76,T103,T123,T168)</f>
        <v>11569900</v>
      </c>
      <c r="U24" s="176">
        <f>SUM(U25,U76,U103,U123,U168)</f>
        <v>11980300</v>
      </c>
      <c r="V24" s="175"/>
      <c r="W24" s="161" t="e">
        <f>"Нормативные "&amp;TEXT(B24,"0")&amp;" включают в себя:
нормативные "&amp;TEXT(B25,"0")&amp;";
нормативные "&amp;TEXT(B76,"0")&amp;" "&amp;TEXT(#REF!,"0")&amp;";
нормативные "&amp;TEXT(B103,"0")&amp;";
нормативные "&amp;TEXT(B123,"0")&amp;";
нормативные "&amp;TEXT(B168,"0")&amp;""</f>
        <v>#REF!</v>
      </c>
    </row>
    <row r="25" spans="1:23" ht="60" x14ac:dyDescent="0.25">
      <c r="A25" s="177" t="s">
        <v>9</v>
      </c>
      <c r="B25" s="157" t="s">
        <v>117</v>
      </c>
      <c r="C25" s="158"/>
      <c r="D25" s="159" t="s">
        <v>35</v>
      </c>
      <c r="E25" s="159" t="s">
        <v>35</v>
      </c>
      <c r="F25" s="538"/>
      <c r="G25" s="539"/>
      <c r="H25" s="539"/>
      <c r="I25" s="539"/>
      <c r="J25" s="539"/>
      <c r="K25" s="539"/>
      <c r="L25" s="539"/>
      <c r="M25" s="539"/>
      <c r="N25" s="539"/>
      <c r="O25" s="539"/>
      <c r="P25" s="539"/>
      <c r="Q25" s="539"/>
      <c r="R25" s="539"/>
      <c r="S25" s="176">
        <f>SUM(S26,S42,S64)</f>
        <v>331700</v>
      </c>
      <c r="T25" s="176">
        <f>SUM(T26,T42,T64)</f>
        <v>352300</v>
      </c>
      <c r="U25" s="176">
        <f>SUM(U26,U42,U64)</f>
        <v>359600</v>
      </c>
      <c r="V25" s="158"/>
      <c r="W25" s="161" t="str">
        <f>"Нормативные "&amp;TEXT(B25,"0")&amp;" включают в себя:
нормативные "&amp;TEXT(B26,"0")&amp;";   нормативные "&amp;TEXT(B42,"0")&amp;";
нормативные "&amp;TEXT(B64,"0")&amp;""</f>
        <v>Нормативные затраты на содержание имущества включают в себя:
нормативные затраты на техническое обслуживание и ремонт транспортных средств;   нормативные затраты на техническое обслуживание и регламентно-профилактический ремонт иного оборудования;
нормативные иные затраты на техническое обслуживание и содержание имущества</v>
      </c>
    </row>
    <row r="26" spans="1:23" ht="45" x14ac:dyDescent="0.25">
      <c r="A26" s="156" t="s">
        <v>10</v>
      </c>
      <c r="B26" s="178" t="s">
        <v>112</v>
      </c>
      <c r="C26" s="158"/>
      <c r="D26" s="159" t="s">
        <v>35</v>
      </c>
      <c r="E26" s="159" t="s">
        <v>35</v>
      </c>
      <c r="F26" s="538"/>
      <c r="G26" s="539"/>
      <c r="H26" s="539"/>
      <c r="I26" s="539"/>
      <c r="J26" s="539"/>
      <c r="K26" s="539"/>
      <c r="L26" s="539"/>
      <c r="M26" s="539"/>
      <c r="N26" s="539"/>
      <c r="O26" s="539"/>
      <c r="P26" s="539"/>
      <c r="Q26" s="539"/>
      <c r="R26" s="539"/>
      <c r="S26" s="179">
        <f>SUM(S27,S32,S37)</f>
        <v>15400</v>
      </c>
      <c r="T26" s="179">
        <f>SUM(T27,T32,T37)</f>
        <v>16000</v>
      </c>
      <c r="U26" s="179">
        <f>SUM(U27,U32,U37)</f>
        <v>16800</v>
      </c>
      <c r="V26" s="52"/>
      <c r="W26" s="161" t="str">
        <f>"Нормативные "&amp;TEXT(B26,"0")&amp;" включают в себя:
нормативные "&amp;TEXT(B27,"0")&amp;";   нормативные "&amp;TEXT(B32,"0")&amp;";
нормативные "&amp;TEXT(B37,"0")&amp;""</f>
        <v>Нормативные затраты на техническое обслуживание и ремонт транспортных средств включают в себя:
нормативные затраты на плановое техническое обслуживание автомобиля;   нормативные затраты на технический осмотр автомобиля;
нормативные затраты на ремонт автомобиля</v>
      </c>
    </row>
    <row r="27" spans="1:23" ht="105" collapsed="1" x14ac:dyDescent="0.25">
      <c r="A27" s="383" t="s">
        <v>162</v>
      </c>
      <c r="B27" s="558" t="s">
        <v>267</v>
      </c>
      <c r="C27" s="180"/>
      <c r="D27" s="555">
        <v>225</v>
      </c>
      <c r="E27" s="555">
        <v>244</v>
      </c>
      <c r="F27" s="557" t="s">
        <v>268</v>
      </c>
      <c r="G27" s="557"/>
      <c r="H27" s="557"/>
      <c r="I27" s="557"/>
      <c r="J27" s="557"/>
      <c r="K27" s="557"/>
      <c r="L27" s="557"/>
      <c r="M27" s="557"/>
      <c r="N27" s="557"/>
      <c r="O27" s="557"/>
      <c r="P27" s="557"/>
      <c r="Q27" s="557"/>
      <c r="R27" s="557"/>
      <c r="S27" s="550">
        <f>O29</f>
        <v>12000</v>
      </c>
      <c r="T27" s="550">
        <f>O30</f>
        <v>12500</v>
      </c>
      <c r="U27" s="550">
        <f>O31</f>
        <v>13100</v>
      </c>
      <c r="V27" s="64"/>
      <c r="W27" s="161" t="s">
        <v>269</v>
      </c>
    </row>
    <row r="28" spans="1:23" ht="15" hidden="1" outlineLevel="1" x14ac:dyDescent="0.25">
      <c r="A28" s="383"/>
      <c r="B28" s="559"/>
      <c r="C28" s="180"/>
      <c r="D28" s="556"/>
      <c r="E28" s="560"/>
      <c r="F28" s="181"/>
      <c r="G28" s="182">
        <v>1</v>
      </c>
      <c r="H28" s="183" t="s">
        <v>270</v>
      </c>
      <c r="I28" s="182">
        <v>1</v>
      </c>
      <c r="J28" s="183" t="s">
        <v>231</v>
      </c>
      <c r="K28" s="182">
        <f>ROUNDUP((12000),2)</f>
        <v>12000</v>
      </c>
      <c r="L28" s="183" t="s">
        <v>41</v>
      </c>
      <c r="M28" s="182">
        <f>G28*I28*K28</f>
        <v>12000</v>
      </c>
      <c r="N28" s="183" t="s">
        <v>37</v>
      </c>
      <c r="O28" s="184"/>
      <c r="P28" s="185"/>
      <c r="Q28" s="186"/>
      <c r="R28" s="181"/>
      <c r="S28" s="550"/>
      <c r="T28" s="550"/>
      <c r="U28" s="550"/>
      <c r="V28" s="64"/>
      <c r="W28" s="161"/>
    </row>
    <row r="29" spans="1:23" ht="15" x14ac:dyDescent="0.25">
      <c r="A29" s="383"/>
      <c r="B29" s="559"/>
      <c r="C29" s="180"/>
      <c r="D29" s="556"/>
      <c r="E29" s="560"/>
      <c r="F29" s="187" t="s">
        <v>151</v>
      </c>
      <c r="G29" s="182">
        <v>1</v>
      </c>
      <c r="H29" s="188" t="s">
        <v>270</v>
      </c>
      <c r="I29" s="182">
        <v>1</v>
      </c>
      <c r="J29" s="188" t="s">
        <v>271</v>
      </c>
      <c r="K29" s="189">
        <f>ROUNDUP(K28*(1.04-1.04+1),2)</f>
        <v>12000</v>
      </c>
      <c r="L29" s="183" t="s">
        <v>41</v>
      </c>
      <c r="M29" s="182">
        <f>G29*I29*K29</f>
        <v>12000</v>
      </c>
      <c r="N29" s="183" t="s">
        <v>41</v>
      </c>
      <c r="O29" s="190">
        <f>ROUNDUP((M29),-2)</f>
        <v>12000</v>
      </c>
      <c r="P29" s="191" t="s">
        <v>37</v>
      </c>
      <c r="Q29" s="192"/>
      <c r="R29" s="181"/>
      <c r="S29" s="550"/>
      <c r="T29" s="550"/>
      <c r="U29" s="550"/>
      <c r="V29" s="64"/>
      <c r="W29" s="161" t="str">
        <f>""&amp;TEXT(G29,"0,0")&amp;" раз х "&amp;TEXT(I29,"0,0")&amp;" ед. х "&amp;TEXT(ROUND((M29/I29/G29),2),"0,00")&amp;" руб. = "&amp;TEXT(ROUND((G29*I29*(ROUND((M29/I29/G29),2))),2),"0 000,00")&amp;" руб. = "&amp;TEXT(O29,"0 000,00")&amp;" руб."</f>
        <v>1,0 раз х 1,0 ед. х 12000,00 руб. = 12 000,00 руб. = 12 000,00 руб.</v>
      </c>
    </row>
    <row r="30" spans="1:23" ht="15" x14ac:dyDescent="0.25">
      <c r="A30" s="383"/>
      <c r="B30" s="559"/>
      <c r="C30" s="180"/>
      <c r="D30" s="556"/>
      <c r="E30" s="560"/>
      <c r="F30" s="187" t="s">
        <v>193</v>
      </c>
      <c r="G30" s="182">
        <v>1</v>
      </c>
      <c r="H30" s="183" t="str">
        <f>H29</f>
        <v>раз х</v>
      </c>
      <c r="I30" s="182">
        <v>1</v>
      </c>
      <c r="J30" s="183" t="str">
        <f>J29</f>
        <v>ед. х средняя цена с индексом потребительских цен</v>
      </c>
      <c r="K30" s="189">
        <f>ROUNDUP(K29*(1.041),2)</f>
        <v>12492</v>
      </c>
      <c r="L30" s="183" t="s">
        <v>41</v>
      </c>
      <c r="M30" s="182">
        <f>G30*I30*K30</f>
        <v>12492</v>
      </c>
      <c r="N30" s="183" t="s">
        <v>41</v>
      </c>
      <c r="O30" s="190">
        <f>ROUNDUP((M30),-2)</f>
        <v>12500</v>
      </c>
      <c r="P30" s="191" t="s">
        <v>37</v>
      </c>
      <c r="Q30" s="192"/>
      <c r="R30" s="181"/>
      <c r="S30" s="550"/>
      <c r="T30" s="550"/>
      <c r="U30" s="550"/>
      <c r="V30" s="64"/>
      <c r="W30" s="161" t="str">
        <f>""&amp;TEXT(G30,"0,0")&amp;" раз х "&amp;TEXT(I30,"0,0")&amp;" ед. х "&amp;TEXT(ROUND((M30/I30/G30),2),"0,00")&amp;" руб. = "&amp;TEXT(ROUND((G30*I30*(ROUND((M30/I30/G30),2))),2),"0 000,00")&amp;" руб. = "&amp;TEXT(O30,"0 000,00")&amp;" руб."</f>
        <v>1,0 раз х 1,0 ед. х 12492,00 руб. = 12 492,00 руб. = 12 500,00 руб.</v>
      </c>
    </row>
    <row r="31" spans="1:23" ht="15" x14ac:dyDescent="0.25">
      <c r="A31" s="383"/>
      <c r="B31" s="559"/>
      <c r="C31" s="180"/>
      <c r="D31" s="556"/>
      <c r="E31" s="560"/>
      <c r="F31" s="187" t="s">
        <v>226</v>
      </c>
      <c r="G31" s="182">
        <v>1</v>
      </c>
      <c r="H31" s="183" t="str">
        <f>H29</f>
        <v>раз х</v>
      </c>
      <c r="I31" s="182">
        <v>1</v>
      </c>
      <c r="J31" s="183" t="str">
        <f>J29</f>
        <v>ед. х средняя цена с индексом потребительских цен</v>
      </c>
      <c r="K31" s="189">
        <f>ROUNDUP(K30*(1.041),2)</f>
        <v>13004.18</v>
      </c>
      <c r="L31" s="183" t="s">
        <v>41</v>
      </c>
      <c r="M31" s="182">
        <f t="shared" ref="M31" si="1">G31*I31*K31</f>
        <v>13004.18</v>
      </c>
      <c r="N31" s="183" t="s">
        <v>41</v>
      </c>
      <c r="O31" s="190">
        <f>ROUNDUP((M31),-2)</f>
        <v>13100</v>
      </c>
      <c r="P31" s="191" t="s">
        <v>37</v>
      </c>
      <c r="Q31" s="192"/>
      <c r="R31" s="181"/>
      <c r="S31" s="551"/>
      <c r="T31" s="551"/>
      <c r="U31" s="551"/>
      <c r="V31" s="64"/>
      <c r="W31" s="161" t="str">
        <f>""&amp;TEXT(G31,"0,0")&amp;" раз х "&amp;TEXT(I31,"0,0")&amp;" ед. х "&amp;TEXT(ROUND((M31/I31/G31),2),"0,00")&amp;" руб. = "&amp;TEXT(ROUND((G31*I31*(ROUND((M31/I31/G31),2))),2),"0 000,00")&amp;" руб. = "&amp;TEXT(O31,"0 000,00")&amp;" руб."</f>
        <v>1,0 раз х 1,0 ед. х 13004,18 руб. = 13 004,18 руб. = 13 100,00 руб.</v>
      </c>
    </row>
    <row r="32" spans="1:23" ht="105" collapsed="1" x14ac:dyDescent="0.25">
      <c r="A32" s="552" t="s">
        <v>163</v>
      </c>
      <c r="B32" s="553" t="s">
        <v>114</v>
      </c>
      <c r="C32" s="180"/>
      <c r="D32" s="555">
        <v>225</v>
      </c>
      <c r="E32" s="555">
        <v>244</v>
      </c>
      <c r="F32" s="557" t="s">
        <v>237</v>
      </c>
      <c r="G32" s="557"/>
      <c r="H32" s="557"/>
      <c r="I32" s="557"/>
      <c r="J32" s="557"/>
      <c r="K32" s="557"/>
      <c r="L32" s="557"/>
      <c r="M32" s="557"/>
      <c r="N32" s="557"/>
      <c r="O32" s="557"/>
      <c r="P32" s="557"/>
      <c r="Q32" s="557"/>
      <c r="R32" s="557"/>
      <c r="S32" s="550">
        <f>O34</f>
        <v>1300</v>
      </c>
      <c r="T32" s="550">
        <f>O35</f>
        <v>1300</v>
      </c>
      <c r="U32" s="550">
        <f>O36</f>
        <v>1400</v>
      </c>
      <c r="V32" s="64"/>
      <c r="W32" s="161" t="s">
        <v>272</v>
      </c>
    </row>
    <row r="33" spans="1:23" ht="15" hidden="1" outlineLevel="1" x14ac:dyDescent="0.25">
      <c r="A33" s="552"/>
      <c r="B33" s="554"/>
      <c r="C33" s="180"/>
      <c r="D33" s="556"/>
      <c r="E33" s="556"/>
      <c r="F33" s="181"/>
      <c r="G33" s="182">
        <v>1</v>
      </c>
      <c r="H33" s="183" t="s">
        <v>270</v>
      </c>
      <c r="I33" s="182">
        <v>1</v>
      </c>
      <c r="J33" s="183" t="s">
        <v>231</v>
      </c>
      <c r="K33" s="182">
        <f>ROUNDUP((1168.28),2)</f>
        <v>1168.28</v>
      </c>
      <c r="L33" s="183" t="s">
        <v>41</v>
      </c>
      <c r="M33" s="182">
        <f>G33*I33*K33</f>
        <v>1168.28</v>
      </c>
      <c r="N33" s="183" t="s">
        <v>37</v>
      </c>
      <c r="O33" s="184"/>
      <c r="P33" s="185"/>
      <c r="Q33" s="186"/>
      <c r="R33" s="181"/>
      <c r="S33" s="550"/>
      <c r="T33" s="550"/>
      <c r="U33" s="550"/>
      <c r="V33" s="64"/>
      <c r="W33" s="161"/>
    </row>
    <row r="34" spans="1:23" ht="15" x14ac:dyDescent="0.25">
      <c r="A34" s="552"/>
      <c r="B34" s="554"/>
      <c r="C34" s="180"/>
      <c r="D34" s="556"/>
      <c r="E34" s="556"/>
      <c r="F34" s="187" t="s">
        <v>151</v>
      </c>
      <c r="G34" s="182">
        <v>1</v>
      </c>
      <c r="H34" s="188" t="s">
        <v>270</v>
      </c>
      <c r="I34" s="182">
        <v>1</v>
      </c>
      <c r="J34" s="188" t="s">
        <v>271</v>
      </c>
      <c r="K34" s="189">
        <f>ROUNDUP(K33*(1.04),2)</f>
        <v>1215.02</v>
      </c>
      <c r="L34" s="183" t="s">
        <v>41</v>
      </c>
      <c r="M34" s="182">
        <f>G34*I34*K34</f>
        <v>1215.02</v>
      </c>
      <c r="N34" s="183" t="s">
        <v>41</v>
      </c>
      <c r="O34" s="190">
        <f>ROUNDUP((M34),-2)</f>
        <v>1300</v>
      </c>
      <c r="P34" s="191" t="s">
        <v>37</v>
      </c>
      <c r="Q34" s="192"/>
      <c r="R34" s="181"/>
      <c r="S34" s="550"/>
      <c r="T34" s="550"/>
      <c r="U34" s="550"/>
      <c r="V34" s="64"/>
      <c r="W34" s="161" t="str">
        <f>""&amp;TEXT(G34,"0,0")&amp;" раз х "&amp;TEXT(I34,"0,0")&amp;" ед. х "&amp;TEXT(ROUND((M34/I34/G34),2),"0,00")&amp;" руб. = "&amp;TEXT(ROUND((G34*I34*(ROUND((M34/I34/G34),2))),2),"0 000,00")&amp;" руб. = "&amp;TEXT(O34,"0 000,00")&amp;" руб."</f>
        <v>1,0 раз х 1,0 ед. х 1215,02 руб. = 1 215,02 руб. = 1 300,00 руб.</v>
      </c>
    </row>
    <row r="35" spans="1:23" ht="15" x14ac:dyDescent="0.25">
      <c r="A35" s="552"/>
      <c r="B35" s="554"/>
      <c r="C35" s="180"/>
      <c r="D35" s="556"/>
      <c r="E35" s="556"/>
      <c r="F35" s="187" t="s">
        <v>193</v>
      </c>
      <c r="G35" s="182">
        <v>1</v>
      </c>
      <c r="H35" s="183" t="str">
        <f>H34</f>
        <v>раз х</v>
      </c>
      <c r="I35" s="182">
        <v>1</v>
      </c>
      <c r="J35" s="183" t="str">
        <f>J34</f>
        <v>ед. х средняя цена с индексом потребительских цен</v>
      </c>
      <c r="K35" s="189">
        <f>ROUNDUP(K34*(1.041),2)</f>
        <v>1264.8399999999999</v>
      </c>
      <c r="L35" s="183" t="s">
        <v>41</v>
      </c>
      <c r="M35" s="182">
        <f>G35*I35*K35</f>
        <v>1264.8399999999999</v>
      </c>
      <c r="N35" s="183" t="s">
        <v>41</v>
      </c>
      <c r="O35" s="190">
        <f>ROUNDUP((M35),-2)</f>
        <v>1300</v>
      </c>
      <c r="P35" s="191" t="s">
        <v>37</v>
      </c>
      <c r="Q35" s="192"/>
      <c r="R35" s="181"/>
      <c r="S35" s="550"/>
      <c r="T35" s="550"/>
      <c r="U35" s="550"/>
      <c r="V35" s="64"/>
      <c r="W35" s="161" t="str">
        <f>""&amp;TEXT(G35,"0,0")&amp;" раз х "&amp;TEXT(I35,"0,0")&amp;" ед. х "&amp;TEXT(ROUND((M35/I35/G35),2),"0,00")&amp;" руб. = "&amp;TEXT(ROUND((G35*I35*(ROUND((M35/I35/G35),2))),2),"0 000,00")&amp;" руб. = "&amp;TEXT(O35,"0 000,00")&amp;" руб."</f>
        <v>1,0 раз х 1,0 ед. х 1264,84 руб. = 1 264,84 руб. = 1 300,00 руб.</v>
      </c>
    </row>
    <row r="36" spans="1:23" ht="15" x14ac:dyDescent="0.25">
      <c r="A36" s="552"/>
      <c r="B36" s="554"/>
      <c r="C36" s="180"/>
      <c r="D36" s="556"/>
      <c r="E36" s="556"/>
      <c r="F36" s="187" t="s">
        <v>226</v>
      </c>
      <c r="G36" s="182">
        <v>1</v>
      </c>
      <c r="H36" s="183" t="str">
        <f>H34</f>
        <v>раз х</v>
      </c>
      <c r="I36" s="182">
        <v>1</v>
      </c>
      <c r="J36" s="183" t="str">
        <f>J34</f>
        <v>ед. х средняя цена с индексом потребительских цен</v>
      </c>
      <c r="K36" s="189">
        <f>ROUNDUP(K35*(1.041),2)</f>
        <v>1316.7</v>
      </c>
      <c r="L36" s="183" t="s">
        <v>41</v>
      </c>
      <c r="M36" s="182">
        <f t="shared" ref="M36" si="2">G36*I36*K36</f>
        <v>1316.7</v>
      </c>
      <c r="N36" s="183" t="s">
        <v>41</v>
      </c>
      <c r="O36" s="190">
        <f>ROUNDUP((M36),-2)</f>
        <v>1400</v>
      </c>
      <c r="P36" s="191" t="s">
        <v>37</v>
      </c>
      <c r="Q36" s="192"/>
      <c r="R36" s="181"/>
      <c r="S36" s="551"/>
      <c r="T36" s="551"/>
      <c r="U36" s="551"/>
      <c r="V36" s="64"/>
      <c r="W36" s="161" t="str">
        <f>""&amp;TEXT(G36,"0,0")&amp;" раз х "&amp;TEXT(I36,"0,0")&amp;" ед. х "&amp;TEXT(ROUND((M36/I36/G36),2),"0,00")&amp;" руб. = "&amp;TEXT(ROUND((G36*I36*(ROUND((M36/I36/G36),2))),2),"0 000,00")&amp;" руб. = "&amp;TEXT(O36,"0 000,00")&amp;" руб."</f>
        <v>1,0 раз х 1,0 ед. х 1316,70 руб. = 1 316,70 руб. = 1 400,00 руб.</v>
      </c>
    </row>
    <row r="37" spans="1:23" ht="105" collapsed="1" x14ac:dyDescent="0.25">
      <c r="A37" s="552" t="s">
        <v>201</v>
      </c>
      <c r="B37" s="553" t="s">
        <v>202</v>
      </c>
      <c r="C37" s="180"/>
      <c r="D37" s="555">
        <v>225</v>
      </c>
      <c r="E37" s="555">
        <v>244</v>
      </c>
      <c r="F37" s="557" t="s">
        <v>237</v>
      </c>
      <c r="G37" s="557"/>
      <c r="H37" s="557"/>
      <c r="I37" s="557"/>
      <c r="J37" s="557"/>
      <c r="K37" s="557"/>
      <c r="L37" s="557"/>
      <c r="M37" s="557"/>
      <c r="N37" s="557"/>
      <c r="O37" s="557"/>
      <c r="P37" s="557"/>
      <c r="Q37" s="557"/>
      <c r="R37" s="557"/>
      <c r="S37" s="550">
        <f>O39</f>
        <v>2100</v>
      </c>
      <c r="T37" s="550">
        <f>O40</f>
        <v>2200</v>
      </c>
      <c r="U37" s="550">
        <f>O41</f>
        <v>2300</v>
      </c>
      <c r="V37" s="64"/>
      <c r="W37" s="161" t="s">
        <v>273</v>
      </c>
    </row>
    <row r="38" spans="1:23" ht="15" hidden="1" outlineLevel="1" x14ac:dyDescent="0.25">
      <c r="A38" s="552"/>
      <c r="B38" s="554"/>
      <c r="C38" s="180"/>
      <c r="D38" s="556"/>
      <c r="E38" s="556"/>
      <c r="F38" s="181"/>
      <c r="G38" s="182">
        <v>1</v>
      </c>
      <c r="H38" s="183" t="s">
        <v>270</v>
      </c>
      <c r="I38" s="182">
        <v>1</v>
      </c>
      <c r="J38" s="183" t="s">
        <v>231</v>
      </c>
      <c r="K38" s="182">
        <f>ROUNDUP((1966.67),2)</f>
        <v>1966.67</v>
      </c>
      <c r="L38" s="183" t="s">
        <v>41</v>
      </c>
      <c r="M38" s="182">
        <f>G38*I38*K38</f>
        <v>1966.67</v>
      </c>
      <c r="N38" s="183" t="s">
        <v>37</v>
      </c>
      <c r="O38" s="184"/>
      <c r="P38" s="185"/>
      <c r="Q38" s="186"/>
      <c r="R38" s="181"/>
      <c r="S38" s="550"/>
      <c r="T38" s="550"/>
      <c r="U38" s="550"/>
      <c r="V38" s="64"/>
      <c r="W38" s="161"/>
    </row>
    <row r="39" spans="1:23" ht="15" x14ac:dyDescent="0.25">
      <c r="A39" s="552"/>
      <c r="B39" s="554"/>
      <c r="C39" s="180"/>
      <c r="D39" s="556"/>
      <c r="E39" s="556"/>
      <c r="F39" s="187" t="s">
        <v>151</v>
      </c>
      <c r="G39" s="182">
        <v>1</v>
      </c>
      <c r="H39" s="188" t="s">
        <v>270</v>
      </c>
      <c r="I39" s="182">
        <v>1</v>
      </c>
      <c r="J39" s="188" t="s">
        <v>271</v>
      </c>
      <c r="K39" s="189">
        <f>ROUNDUP(K38*(1.04),2)</f>
        <v>2045.34</v>
      </c>
      <c r="L39" s="183" t="s">
        <v>41</v>
      </c>
      <c r="M39" s="182">
        <f>G39*I39*K39</f>
        <v>2045.34</v>
      </c>
      <c r="N39" s="183" t="s">
        <v>41</v>
      </c>
      <c r="O39" s="190">
        <f>ROUNDUP((M39),-2)</f>
        <v>2100</v>
      </c>
      <c r="P39" s="191" t="s">
        <v>37</v>
      </c>
      <c r="Q39" s="192"/>
      <c r="R39" s="181"/>
      <c r="S39" s="550"/>
      <c r="T39" s="550"/>
      <c r="U39" s="550"/>
      <c r="V39" s="64"/>
      <c r="W39" s="161" t="str">
        <f>""&amp;TEXT(G39,"0,0")&amp;" раз х "&amp;TEXT(I39,"0,0")&amp;" ед. х "&amp;TEXT(ROUND((M39/I39/G39),2),"0,00")&amp;" руб. = "&amp;TEXT(ROUND((G39*I39*(ROUND((M39/I39/G39),2))),2),"0 000,00")&amp;" руб. = "&amp;TEXT(O39,"0 000,00")&amp;" руб."</f>
        <v>1,0 раз х 1,0 ед. х 2045,34 руб. = 2 045,34 руб. = 2 100,00 руб.</v>
      </c>
    </row>
    <row r="40" spans="1:23" ht="15" x14ac:dyDescent="0.25">
      <c r="A40" s="552"/>
      <c r="B40" s="554"/>
      <c r="C40" s="180"/>
      <c r="D40" s="556"/>
      <c r="E40" s="556"/>
      <c r="F40" s="187" t="s">
        <v>193</v>
      </c>
      <c r="G40" s="182">
        <v>1</v>
      </c>
      <c r="H40" s="183" t="str">
        <f>H39</f>
        <v>раз х</v>
      </c>
      <c r="I40" s="182">
        <v>1</v>
      </c>
      <c r="J40" s="183" t="str">
        <f>J39</f>
        <v>ед. х средняя цена с индексом потребительских цен</v>
      </c>
      <c r="K40" s="189">
        <f>ROUNDUP(K39*(1.041),2)</f>
        <v>2129.2000000000003</v>
      </c>
      <c r="L40" s="183" t="s">
        <v>41</v>
      </c>
      <c r="M40" s="182">
        <f>G40*I40*K40</f>
        <v>2129.2000000000003</v>
      </c>
      <c r="N40" s="183" t="s">
        <v>41</v>
      </c>
      <c r="O40" s="190">
        <f>ROUNDUP((M40),-2)</f>
        <v>2200</v>
      </c>
      <c r="P40" s="191" t="s">
        <v>37</v>
      </c>
      <c r="Q40" s="192"/>
      <c r="R40" s="181"/>
      <c r="S40" s="550"/>
      <c r="T40" s="550"/>
      <c r="U40" s="550"/>
      <c r="V40" s="64"/>
      <c r="W40" s="161" t="str">
        <f>""&amp;TEXT(G40,"0,0")&amp;" раз х "&amp;TEXT(I40,"0,0")&amp;" ед. х "&amp;TEXT(ROUND((M40/I40/G40),2),"0,00")&amp;" руб. = "&amp;TEXT(ROUND((G40*I40*(ROUND((M40/I40/G40),2))),2),"0 000,00")&amp;" руб. = "&amp;TEXT(O40,"0 000,00")&amp;" руб."</f>
        <v>1,0 раз х 1,0 ед. х 2129,20 руб. = 2 129,20 руб. = 2 200,00 руб.</v>
      </c>
    </row>
    <row r="41" spans="1:23" ht="15" x14ac:dyDescent="0.25">
      <c r="A41" s="552"/>
      <c r="B41" s="554"/>
      <c r="C41" s="180"/>
      <c r="D41" s="556"/>
      <c r="E41" s="556"/>
      <c r="F41" s="187" t="s">
        <v>226</v>
      </c>
      <c r="G41" s="182">
        <v>1</v>
      </c>
      <c r="H41" s="183" t="str">
        <f>H39</f>
        <v>раз х</v>
      </c>
      <c r="I41" s="182">
        <v>1</v>
      </c>
      <c r="J41" s="183" t="str">
        <f>J39</f>
        <v>ед. х средняя цена с индексом потребительских цен</v>
      </c>
      <c r="K41" s="189">
        <f>ROUNDUP(K40*(1.041),2)</f>
        <v>2216.5</v>
      </c>
      <c r="L41" s="183" t="s">
        <v>41</v>
      </c>
      <c r="M41" s="182">
        <f t="shared" ref="M41" si="3">G41*I41*K41</f>
        <v>2216.5</v>
      </c>
      <c r="N41" s="183" t="s">
        <v>41</v>
      </c>
      <c r="O41" s="190">
        <f>ROUNDUP((M41),-2)</f>
        <v>2300</v>
      </c>
      <c r="P41" s="191" t="s">
        <v>37</v>
      </c>
      <c r="Q41" s="192"/>
      <c r="R41" s="181"/>
      <c r="S41" s="551"/>
      <c r="T41" s="551"/>
      <c r="U41" s="551"/>
      <c r="V41" s="64"/>
      <c r="W41" s="161" t="str">
        <f>""&amp;TEXT(G41,"0,0")&amp;" раз х "&amp;TEXT(I41,"0,0")&amp;" ед. х "&amp;TEXT(ROUND((M41/I41/G41),2),"0,00")&amp;" руб. = "&amp;TEXT(ROUND((G41*I41*(ROUND((M41/I41/G41),2))),2),"0 000,00")&amp;" руб. = "&amp;TEXT(O41,"0 000,00")&amp;" руб."</f>
        <v>1,0 раз х 1,0 ед. х 2216,50 руб. = 2 216,50 руб. = 2 300,00 руб.</v>
      </c>
    </row>
    <row r="42" spans="1:23" ht="91.5" customHeight="1" x14ac:dyDescent="0.25">
      <c r="A42" s="156" t="s">
        <v>11</v>
      </c>
      <c r="B42" s="178" t="s">
        <v>115</v>
      </c>
      <c r="C42" s="158"/>
      <c r="D42" s="159" t="s">
        <v>35</v>
      </c>
      <c r="E42" s="159" t="s">
        <v>35</v>
      </c>
      <c r="F42" s="538"/>
      <c r="G42" s="539"/>
      <c r="H42" s="539"/>
      <c r="I42" s="539"/>
      <c r="J42" s="539"/>
      <c r="K42" s="539"/>
      <c r="L42" s="539"/>
      <c r="M42" s="539"/>
      <c r="N42" s="539"/>
      <c r="O42" s="539"/>
      <c r="P42" s="539"/>
      <c r="Q42" s="539"/>
      <c r="R42" s="539"/>
      <c r="S42" s="160">
        <f>SUM(S43,S48,S53,S59)</f>
        <v>253400</v>
      </c>
      <c r="T42" s="160">
        <f>SUM(T43,T48,T53,T59)</f>
        <v>263800</v>
      </c>
      <c r="U42" s="160">
        <f>SUM(U43,U48,U53,U59)</f>
        <v>274600</v>
      </c>
      <c r="V42" s="158"/>
      <c r="W42" s="161" t="str">
        <f>"Нормативные "&amp;TEXT(B42,"0")&amp;" включают в себя:
нормативные "&amp;TEXT(B43,"0")&amp;";   нормативные "&amp;TEXT(B48,"0")&amp;";
нормативные "&amp;TEXT(B53,"0")&amp;";   нормативные "&amp;TEXT(B59,"0")&amp;""</f>
        <v>Нормативные затраты на техническое обслуживание и регламентно-профилактический ремонт иного оборудования включают в себя:
нормативные затраты по  техническому обслуживанию систем кондиционирования;   нормативные затраты по ремонту систем кондиционирования;
нормативные затраты по техническому обслуживанию и регламентно-профилактический ремонту комплексных систем обеспечения безопасности;   нормативные затраты по техническому обслуживанию счетчика банкнот</v>
      </c>
    </row>
    <row r="43" spans="1:23" s="75" customFormat="1" ht="113.25" customHeight="1" x14ac:dyDescent="0.25">
      <c r="A43" s="383" t="s">
        <v>127</v>
      </c>
      <c r="B43" s="553" t="s">
        <v>233</v>
      </c>
      <c r="C43" s="193"/>
      <c r="D43" s="555">
        <v>225</v>
      </c>
      <c r="E43" s="555">
        <v>244</v>
      </c>
      <c r="F43" s="557" t="s">
        <v>268</v>
      </c>
      <c r="G43" s="557"/>
      <c r="H43" s="557"/>
      <c r="I43" s="557"/>
      <c r="J43" s="557"/>
      <c r="K43" s="557"/>
      <c r="L43" s="557"/>
      <c r="M43" s="557"/>
      <c r="N43" s="557"/>
      <c r="O43" s="557"/>
      <c r="P43" s="557"/>
      <c r="Q43" s="557"/>
      <c r="R43" s="557"/>
      <c r="S43" s="550">
        <f>O45</f>
        <v>201100</v>
      </c>
      <c r="T43" s="550">
        <f>O46</f>
        <v>209400</v>
      </c>
      <c r="U43" s="550">
        <f>O47</f>
        <v>217900</v>
      </c>
      <c r="V43" s="56"/>
      <c r="W43" s="161" t="s">
        <v>274</v>
      </c>
    </row>
    <row r="44" spans="1:23" ht="20.25" customHeight="1" outlineLevel="1" x14ac:dyDescent="0.25">
      <c r="A44" s="383"/>
      <c r="B44" s="554"/>
      <c r="C44" s="180"/>
      <c r="D44" s="556"/>
      <c r="E44" s="560"/>
      <c r="F44" s="181"/>
      <c r="G44" s="182">
        <v>1</v>
      </c>
      <c r="H44" s="183" t="s">
        <v>270</v>
      </c>
      <c r="I44" s="182">
        <v>29</v>
      </c>
      <c r="J44" s="183" t="s">
        <v>231</v>
      </c>
      <c r="K44" s="182">
        <f>ROUNDUP((201066.57/I44),2)</f>
        <v>6933.33</v>
      </c>
      <c r="L44" s="183" t="s">
        <v>41</v>
      </c>
      <c r="M44" s="182">
        <f>G44*I44*K44</f>
        <v>201066.57</v>
      </c>
      <c r="N44" s="183" t="s">
        <v>37</v>
      </c>
      <c r="O44" s="184"/>
      <c r="P44" s="185"/>
      <c r="Q44" s="186"/>
      <c r="R44" s="181"/>
      <c r="S44" s="550"/>
      <c r="T44" s="550"/>
      <c r="U44" s="550"/>
      <c r="V44" s="64"/>
      <c r="W44" s="161"/>
    </row>
    <row r="45" spans="1:23" ht="15" x14ac:dyDescent="0.25">
      <c r="A45" s="383"/>
      <c r="B45" s="554"/>
      <c r="C45" s="180"/>
      <c r="D45" s="556"/>
      <c r="E45" s="560"/>
      <c r="F45" s="187" t="s">
        <v>151</v>
      </c>
      <c r="G45" s="182">
        <v>1</v>
      </c>
      <c r="H45" s="188" t="s">
        <v>270</v>
      </c>
      <c r="I45" s="182">
        <v>29</v>
      </c>
      <c r="J45" s="188" t="s">
        <v>271</v>
      </c>
      <c r="K45" s="189">
        <f>ROUNDUP(K44*(1.04-1.04+1),2)</f>
        <v>6933.33</v>
      </c>
      <c r="L45" s="183" t="s">
        <v>41</v>
      </c>
      <c r="M45" s="182">
        <f>G45*I45*K45</f>
        <v>201066.57</v>
      </c>
      <c r="N45" s="183" t="s">
        <v>41</v>
      </c>
      <c r="O45" s="190">
        <f>ROUNDUP((M45),-2)</f>
        <v>201100</v>
      </c>
      <c r="P45" s="191" t="s">
        <v>37</v>
      </c>
      <c r="Q45" s="192"/>
      <c r="R45" s="181"/>
      <c r="S45" s="550"/>
      <c r="T45" s="550"/>
      <c r="U45" s="550"/>
      <c r="V45" s="64"/>
      <c r="W45" s="161" t="str">
        <f>""&amp;TEXT(G45,"0,0")&amp;" раз х "&amp;TEXT(I45,"0,0")&amp;" ед. х "&amp;TEXT(ROUND((M45/I45/G45),2),"0,00")&amp;" руб. = "&amp;TEXT(ROUND((G45*I45*(ROUND((M45/I45/G45),2))),2),"0 000,00")&amp;" руб. = "&amp;TEXT(O45,"0 000,00")&amp;" руб."</f>
        <v>1,0 раз х 29,0 ед. х 6933,33 руб. = 201 066,57 руб. = 201 100,00 руб.</v>
      </c>
    </row>
    <row r="46" spans="1:23" ht="15" x14ac:dyDescent="0.25">
      <c r="A46" s="383"/>
      <c r="B46" s="554"/>
      <c r="C46" s="180"/>
      <c r="D46" s="556"/>
      <c r="E46" s="560"/>
      <c r="F46" s="187" t="s">
        <v>193</v>
      </c>
      <c r="G46" s="182">
        <v>1</v>
      </c>
      <c r="H46" s="183" t="str">
        <f>H45</f>
        <v>раз х</v>
      </c>
      <c r="I46" s="182">
        <v>29</v>
      </c>
      <c r="J46" s="183" t="str">
        <f>J45</f>
        <v>ед. х средняя цена с индексом потребительских цен</v>
      </c>
      <c r="K46" s="189">
        <f>ROUNDUP(K45*(1.041),2)</f>
        <v>7217.6</v>
      </c>
      <c r="L46" s="183" t="s">
        <v>41</v>
      </c>
      <c r="M46" s="182">
        <f>G46*I46*K46</f>
        <v>209310.40000000002</v>
      </c>
      <c r="N46" s="183" t="s">
        <v>41</v>
      </c>
      <c r="O46" s="190">
        <f>ROUNDUP((M46),-2)</f>
        <v>209400</v>
      </c>
      <c r="P46" s="191" t="s">
        <v>37</v>
      </c>
      <c r="Q46" s="192"/>
      <c r="R46" s="181"/>
      <c r="S46" s="550"/>
      <c r="T46" s="550"/>
      <c r="U46" s="550"/>
      <c r="V46" s="64"/>
      <c r="W46" s="161" t="str">
        <f>""&amp;TEXT(G46,"0,0")&amp;" раз х "&amp;TEXT(I46,"0,0")&amp;" ед. х "&amp;TEXT(ROUND((M46/I46/G46),2),"0,00")&amp;" руб. = "&amp;TEXT(ROUND((G46*I46*(ROUND((M46/I46/G46),2))),2),"0 000,00")&amp;" руб. = "&amp;TEXT(O46,"0 000,00")&amp;" руб."</f>
        <v>1,0 раз х 29,0 ед. х 7217,60 руб. = 209 310,40 руб. = 209 400,00 руб.</v>
      </c>
    </row>
    <row r="47" spans="1:23" ht="15" x14ac:dyDescent="0.25">
      <c r="A47" s="383"/>
      <c r="B47" s="554"/>
      <c r="C47" s="180"/>
      <c r="D47" s="556"/>
      <c r="E47" s="560"/>
      <c r="F47" s="187" t="s">
        <v>226</v>
      </c>
      <c r="G47" s="182">
        <v>1</v>
      </c>
      <c r="H47" s="183" t="str">
        <f>H45</f>
        <v>раз х</v>
      </c>
      <c r="I47" s="182">
        <v>29</v>
      </c>
      <c r="J47" s="183" t="str">
        <f>J45</f>
        <v>ед. х средняя цена с индексом потребительских цен</v>
      </c>
      <c r="K47" s="189">
        <f>ROUNDUP(K46*(1.041),2)</f>
        <v>7513.5300000000007</v>
      </c>
      <c r="L47" s="183" t="s">
        <v>41</v>
      </c>
      <c r="M47" s="182">
        <f t="shared" ref="M47" si="4">G47*I47*K47</f>
        <v>217892.37000000002</v>
      </c>
      <c r="N47" s="183" t="s">
        <v>41</v>
      </c>
      <c r="O47" s="190">
        <f>ROUNDUP((M47),-2)</f>
        <v>217900</v>
      </c>
      <c r="P47" s="191" t="s">
        <v>37</v>
      </c>
      <c r="Q47" s="192"/>
      <c r="R47" s="181"/>
      <c r="S47" s="551"/>
      <c r="T47" s="551"/>
      <c r="U47" s="551"/>
      <c r="V47" s="64"/>
      <c r="W47" s="161" t="str">
        <f>""&amp;TEXT(G47,"0,0")&amp;" раз х "&amp;TEXT(I47,"0,0")&amp;" ед. х "&amp;TEXT(ROUND((M47/I47/G47),2),"0,00")&amp;" руб. = "&amp;TEXT(ROUND((G47*I47*(ROUND((M47/I47/G47),2))),2),"0 000,00")&amp;" руб. = "&amp;TEXT(O47,"0 000,00")&amp;" руб."</f>
        <v>1,0 раз х 29,0 ед. х 7513,53 руб. = 217 892,37 руб. = 217 900,00 руб.</v>
      </c>
    </row>
    <row r="48" spans="1:23" s="75" customFormat="1" ht="119.25" customHeight="1" collapsed="1" x14ac:dyDescent="0.25">
      <c r="A48" s="383" t="s">
        <v>128</v>
      </c>
      <c r="B48" s="553" t="s">
        <v>217</v>
      </c>
      <c r="C48" s="193"/>
      <c r="D48" s="555">
        <v>225</v>
      </c>
      <c r="E48" s="555">
        <v>244</v>
      </c>
      <c r="F48" s="557" t="s">
        <v>268</v>
      </c>
      <c r="G48" s="557"/>
      <c r="H48" s="557"/>
      <c r="I48" s="557"/>
      <c r="J48" s="557"/>
      <c r="K48" s="557"/>
      <c r="L48" s="557"/>
      <c r="M48" s="557"/>
      <c r="N48" s="557"/>
      <c r="O48" s="557"/>
      <c r="P48" s="557"/>
      <c r="Q48" s="557"/>
      <c r="R48" s="557"/>
      <c r="S48" s="550">
        <f>O50</f>
        <v>11200</v>
      </c>
      <c r="T48" s="550">
        <f>O51</f>
        <v>11700</v>
      </c>
      <c r="U48" s="550">
        <f>O52</f>
        <v>12200</v>
      </c>
      <c r="V48" s="193"/>
      <c r="W48" s="161" t="s">
        <v>275</v>
      </c>
    </row>
    <row r="49" spans="1:24" ht="15" hidden="1" outlineLevel="1" x14ac:dyDescent="0.25">
      <c r="A49" s="383"/>
      <c r="B49" s="554"/>
      <c r="C49" s="180"/>
      <c r="D49" s="556"/>
      <c r="E49" s="560"/>
      <c r="F49" s="181"/>
      <c r="G49" s="182">
        <v>1</v>
      </c>
      <c r="H49" s="183" t="s">
        <v>270</v>
      </c>
      <c r="I49" s="182">
        <v>1</v>
      </c>
      <c r="J49" s="183" t="s">
        <v>231</v>
      </c>
      <c r="K49" s="182">
        <f>ROUNDUP((11200),2)</f>
        <v>11200</v>
      </c>
      <c r="L49" s="183" t="s">
        <v>41</v>
      </c>
      <c r="M49" s="182">
        <f>G49*I49*K49</f>
        <v>11200</v>
      </c>
      <c r="N49" s="183" t="s">
        <v>37</v>
      </c>
      <c r="O49" s="184"/>
      <c r="P49" s="185"/>
      <c r="Q49" s="186"/>
      <c r="R49" s="181"/>
      <c r="S49" s="550"/>
      <c r="T49" s="550"/>
      <c r="U49" s="550"/>
      <c r="V49" s="180"/>
      <c r="W49" s="161"/>
    </row>
    <row r="50" spans="1:24" ht="15" x14ac:dyDescent="0.25">
      <c r="A50" s="383"/>
      <c r="B50" s="554"/>
      <c r="C50" s="180"/>
      <c r="D50" s="556"/>
      <c r="E50" s="560"/>
      <c r="F50" s="187" t="s">
        <v>151</v>
      </c>
      <c r="G50" s="182">
        <v>1</v>
      </c>
      <c r="H50" s="188" t="s">
        <v>270</v>
      </c>
      <c r="I50" s="182">
        <v>1</v>
      </c>
      <c r="J50" s="188" t="s">
        <v>271</v>
      </c>
      <c r="K50" s="189">
        <f>ROUNDUP(K49*(1.04-1.04+1),2)</f>
        <v>11200</v>
      </c>
      <c r="L50" s="183" t="s">
        <v>41</v>
      </c>
      <c r="M50" s="182">
        <f>G50*I50*K50</f>
        <v>11200</v>
      </c>
      <c r="N50" s="183" t="s">
        <v>41</v>
      </c>
      <c r="O50" s="190">
        <f>ROUNDUP((M50),-2)</f>
        <v>11200</v>
      </c>
      <c r="P50" s="191" t="s">
        <v>37</v>
      </c>
      <c r="Q50" s="192"/>
      <c r="R50" s="181"/>
      <c r="S50" s="550"/>
      <c r="T50" s="550"/>
      <c r="U50" s="550"/>
      <c r="V50" s="180"/>
      <c r="W50" s="161" t="str">
        <f>""&amp;TEXT(G50,"0,0")&amp;" раз х "&amp;TEXT(I50,"0,0")&amp;" ед. х "&amp;TEXT(ROUND((M50/I50/G50),2),"0,00")&amp;" руб. = "&amp;TEXT(ROUND((G50*I50*(ROUND((M50/I50/G50),2))),2),"0 000,00")&amp;" руб. = "&amp;TEXT(O50,"0 000,00")&amp;" руб."</f>
        <v>1,0 раз х 1,0 ед. х 11200,00 руб. = 11 200,00 руб. = 11 200,00 руб.</v>
      </c>
    </row>
    <row r="51" spans="1:24" ht="15" x14ac:dyDescent="0.25">
      <c r="A51" s="383"/>
      <c r="B51" s="554"/>
      <c r="C51" s="180"/>
      <c r="D51" s="556"/>
      <c r="E51" s="560"/>
      <c r="F51" s="187" t="s">
        <v>193</v>
      </c>
      <c r="G51" s="182">
        <v>1</v>
      </c>
      <c r="H51" s="183" t="str">
        <f>H50</f>
        <v>раз х</v>
      </c>
      <c r="I51" s="182">
        <v>1</v>
      </c>
      <c r="J51" s="183" t="str">
        <f>J50</f>
        <v>ед. х средняя цена с индексом потребительских цен</v>
      </c>
      <c r="K51" s="189">
        <f>ROUNDUP(K50*(1.041),2)</f>
        <v>11659.2</v>
      </c>
      <c r="L51" s="183" t="s">
        <v>41</v>
      </c>
      <c r="M51" s="182">
        <f>G51*I51*K51</f>
        <v>11659.2</v>
      </c>
      <c r="N51" s="183" t="s">
        <v>41</v>
      </c>
      <c r="O51" s="190">
        <f>ROUNDUP((M51),-2)</f>
        <v>11700</v>
      </c>
      <c r="P51" s="191" t="s">
        <v>37</v>
      </c>
      <c r="Q51" s="192"/>
      <c r="R51" s="181"/>
      <c r="S51" s="550"/>
      <c r="T51" s="550"/>
      <c r="U51" s="550"/>
      <c r="V51" s="180"/>
      <c r="W51" s="161" t="str">
        <f>""&amp;TEXT(G51,"0,0")&amp;" раз х "&amp;TEXT(I51,"0,0")&amp;" ед. х "&amp;TEXT(ROUND((M51/I51/G51),2),"0,00")&amp;" руб. = "&amp;TEXT(ROUND((G51*I51*(ROUND((M51/I51/G51),2))),2),"0 000,00")&amp;" руб. = "&amp;TEXT(O51,"0 000,00")&amp;" руб."</f>
        <v>1,0 раз х 1,0 ед. х 11659,20 руб. = 11 659,20 руб. = 11 700,00 руб.</v>
      </c>
    </row>
    <row r="52" spans="1:24" ht="15" x14ac:dyDescent="0.25">
      <c r="A52" s="383"/>
      <c r="B52" s="554"/>
      <c r="C52" s="180"/>
      <c r="D52" s="556"/>
      <c r="E52" s="560"/>
      <c r="F52" s="187" t="s">
        <v>226</v>
      </c>
      <c r="G52" s="182">
        <v>1</v>
      </c>
      <c r="H52" s="183" t="str">
        <f>H50</f>
        <v>раз х</v>
      </c>
      <c r="I52" s="182">
        <v>1</v>
      </c>
      <c r="J52" s="183" t="str">
        <f>J50</f>
        <v>ед. х средняя цена с индексом потребительских цен</v>
      </c>
      <c r="K52" s="189">
        <f>ROUNDUP(K51*(1.041),2)</f>
        <v>12137.23</v>
      </c>
      <c r="L52" s="183" t="s">
        <v>41</v>
      </c>
      <c r="M52" s="182">
        <f t="shared" ref="M52" si="5">G52*I52*K52</f>
        <v>12137.23</v>
      </c>
      <c r="N52" s="183" t="s">
        <v>41</v>
      </c>
      <c r="O52" s="190">
        <f>ROUNDUP((M52),-2)</f>
        <v>12200</v>
      </c>
      <c r="P52" s="191" t="s">
        <v>37</v>
      </c>
      <c r="Q52" s="192"/>
      <c r="R52" s="181"/>
      <c r="S52" s="551"/>
      <c r="T52" s="551"/>
      <c r="U52" s="551"/>
      <c r="V52" s="180"/>
      <c r="W52" s="161" t="str">
        <f>""&amp;TEXT(G52,"0,0")&amp;" раз х "&amp;TEXT(I52,"0,0")&amp;" ед. х "&amp;TEXT(ROUND((M52/I52/G52),2),"0,00")&amp;" руб. = "&amp;TEXT(ROUND((G52*I52*(ROUND((M52/I52/G52),2))),2),"0 000,00")&amp;" руб. = "&amp;TEXT(O52,"0 000,00")&amp;" руб."</f>
        <v>1,0 раз х 1,0 ед. х 12137,23 руб. = 12 137,23 руб. = 12 200,00 руб.</v>
      </c>
    </row>
    <row r="53" spans="1:24" ht="47.25" x14ac:dyDescent="0.25">
      <c r="A53" s="177" t="s">
        <v>129</v>
      </c>
      <c r="B53" s="157" t="s">
        <v>110</v>
      </c>
      <c r="C53" s="158"/>
      <c r="D53" s="159" t="s">
        <v>35</v>
      </c>
      <c r="E53" s="159" t="s">
        <v>35</v>
      </c>
      <c r="F53" s="538"/>
      <c r="G53" s="539"/>
      <c r="H53" s="539"/>
      <c r="I53" s="539"/>
      <c r="J53" s="539"/>
      <c r="K53" s="539"/>
      <c r="L53" s="539"/>
      <c r="M53" s="539"/>
      <c r="N53" s="539"/>
      <c r="O53" s="539"/>
      <c r="P53" s="539"/>
      <c r="Q53" s="539"/>
      <c r="R53" s="539"/>
      <c r="S53" s="179">
        <f>SUM(S54)</f>
        <v>35100</v>
      </c>
      <c r="T53" s="179">
        <f>SUM(T54)</f>
        <v>36500</v>
      </c>
      <c r="U53" s="179">
        <f>SUM(U54)</f>
        <v>38000</v>
      </c>
      <c r="V53" s="158"/>
      <c r="W53" s="161" t="str">
        <f>"Нормативные "&amp;TEXT(B53,"0")&amp;" включают в себя:
нормативные "&amp;TEXT(B54,"0")&amp;""</f>
        <v>Нормативные затраты по техническому обслуживанию и регламентно-профилактический ремонту комплексных систем обеспечения безопасности включают в себя:
нормативные затраты по техническому обслуживанию охранно-тревожной сигнализации</v>
      </c>
    </row>
    <row r="54" spans="1:24" ht="123" customHeight="1" collapsed="1" x14ac:dyDescent="0.25">
      <c r="A54" s="383" t="s">
        <v>221</v>
      </c>
      <c r="B54" s="553" t="s">
        <v>111</v>
      </c>
      <c r="C54" s="180"/>
      <c r="D54" s="555">
        <v>225</v>
      </c>
      <c r="E54" s="555">
        <v>244</v>
      </c>
      <c r="F54" s="557" t="s">
        <v>268</v>
      </c>
      <c r="G54" s="557"/>
      <c r="H54" s="557"/>
      <c r="I54" s="557"/>
      <c r="J54" s="557"/>
      <c r="K54" s="557"/>
      <c r="L54" s="557"/>
      <c r="M54" s="557"/>
      <c r="N54" s="557"/>
      <c r="O54" s="557"/>
      <c r="P54" s="557"/>
      <c r="Q54" s="557"/>
      <c r="R54" s="557"/>
      <c r="S54" s="550">
        <f>O56</f>
        <v>35100</v>
      </c>
      <c r="T54" s="550">
        <f>O57</f>
        <v>36500</v>
      </c>
      <c r="U54" s="550">
        <f>O58</f>
        <v>38000</v>
      </c>
      <c r="V54" s="180"/>
      <c r="W54" s="161" t="s">
        <v>276</v>
      </c>
    </row>
    <row r="55" spans="1:24" ht="15" hidden="1" outlineLevel="1" x14ac:dyDescent="0.25">
      <c r="A55" s="383"/>
      <c r="B55" s="554"/>
      <c r="C55" s="180"/>
      <c r="D55" s="556"/>
      <c r="E55" s="560"/>
      <c r="F55" s="181"/>
      <c r="G55" s="182">
        <v>12</v>
      </c>
      <c r="H55" s="183" t="s">
        <v>270</v>
      </c>
      <c r="I55" s="182">
        <v>1</v>
      </c>
      <c r="J55" s="183" t="s">
        <v>231</v>
      </c>
      <c r="K55" s="182">
        <f>ROUNDUP((2916.67),2)</f>
        <v>2916.67</v>
      </c>
      <c r="L55" s="183" t="s">
        <v>41</v>
      </c>
      <c r="M55" s="182">
        <f>G55*I55*K55</f>
        <v>35000.04</v>
      </c>
      <c r="N55" s="183" t="s">
        <v>37</v>
      </c>
      <c r="O55" s="184"/>
      <c r="P55" s="185"/>
      <c r="Q55" s="186"/>
      <c r="R55" s="181"/>
      <c r="S55" s="550"/>
      <c r="T55" s="550"/>
      <c r="U55" s="550"/>
      <c r="V55" s="180"/>
      <c r="W55" s="161"/>
    </row>
    <row r="56" spans="1:24" ht="15" x14ac:dyDescent="0.25">
      <c r="A56" s="383"/>
      <c r="B56" s="554"/>
      <c r="C56" s="180"/>
      <c r="D56" s="556"/>
      <c r="E56" s="560"/>
      <c r="F56" s="187" t="s">
        <v>151</v>
      </c>
      <c r="G56" s="182">
        <v>12</v>
      </c>
      <c r="H56" s="188" t="s">
        <v>270</v>
      </c>
      <c r="I56" s="182">
        <v>1</v>
      </c>
      <c r="J56" s="188" t="s">
        <v>271</v>
      </c>
      <c r="K56" s="189">
        <f>ROUNDUP(K55*(1.04-1.04+1),2)</f>
        <v>2916.67</v>
      </c>
      <c r="L56" s="183" t="s">
        <v>41</v>
      </c>
      <c r="M56" s="182">
        <f>G56*I56*K56</f>
        <v>35000.04</v>
      </c>
      <c r="N56" s="183" t="s">
        <v>41</v>
      </c>
      <c r="O56" s="190">
        <f>ROUNDUP((M56),-2)</f>
        <v>35100</v>
      </c>
      <c r="P56" s="191" t="s">
        <v>37</v>
      </c>
      <c r="Q56" s="192"/>
      <c r="R56" s="181"/>
      <c r="S56" s="550"/>
      <c r="T56" s="550"/>
      <c r="U56" s="550"/>
      <c r="V56" s="180"/>
      <c r="W56" s="161" t="str">
        <f>""&amp;TEXT(G56,"0,0")&amp;" раз х "&amp;TEXT(I56,"0,0")&amp;" ед. х "&amp;TEXT(ROUND((M56/I56/G56),2),"0,00")&amp;" руб. = "&amp;TEXT(ROUND((G56*I56*(ROUND((M56/I56/G56),2))),2),"0 000,00")&amp;" руб. = "&amp;TEXT(O56,"0 000,00")&amp;" руб."</f>
        <v>12,0 раз х 1,0 ед. х 2916,67 руб. = 35 000,04 руб. = 35 100,00 руб.</v>
      </c>
    </row>
    <row r="57" spans="1:24" ht="15" x14ac:dyDescent="0.25">
      <c r="A57" s="383"/>
      <c r="B57" s="554"/>
      <c r="C57" s="180"/>
      <c r="D57" s="556"/>
      <c r="E57" s="560"/>
      <c r="F57" s="187" t="s">
        <v>193</v>
      </c>
      <c r="G57" s="182">
        <v>12</v>
      </c>
      <c r="H57" s="183" t="str">
        <f>H56</f>
        <v>раз х</v>
      </c>
      <c r="I57" s="182">
        <v>1</v>
      </c>
      <c r="J57" s="183" t="str">
        <f>J56</f>
        <v>ед. х средняя цена с индексом потребительских цен</v>
      </c>
      <c r="K57" s="189">
        <f>ROUNDUP(K56*(1.041),2)</f>
        <v>3036.26</v>
      </c>
      <c r="L57" s="183" t="s">
        <v>41</v>
      </c>
      <c r="M57" s="182">
        <f>G57*I57*K57</f>
        <v>36435.120000000003</v>
      </c>
      <c r="N57" s="183" t="s">
        <v>41</v>
      </c>
      <c r="O57" s="190">
        <f>ROUNDUP((M57),-2)</f>
        <v>36500</v>
      </c>
      <c r="P57" s="191" t="s">
        <v>37</v>
      </c>
      <c r="Q57" s="192"/>
      <c r="R57" s="181"/>
      <c r="S57" s="550"/>
      <c r="T57" s="550"/>
      <c r="U57" s="550"/>
      <c r="V57" s="180"/>
      <c r="W57" s="161" t="str">
        <f>""&amp;TEXT(G57,"0,0")&amp;" раз х "&amp;TEXT(I57,"0,0")&amp;" ед. х "&amp;TEXT(ROUND((M57/I57/G57),2),"0,00")&amp;" руб. = "&amp;TEXT(ROUND((G57*I57*(ROUND((M57/I57/G57),2))),2),"0 000,00")&amp;" руб. = "&amp;TEXT(O57,"0 000,00")&amp;" руб."</f>
        <v>12,0 раз х 1,0 ед. х 3036,26 руб. = 36 435,12 руб. = 36 500,00 руб.</v>
      </c>
    </row>
    <row r="58" spans="1:24" ht="15" x14ac:dyDescent="0.25">
      <c r="A58" s="383"/>
      <c r="B58" s="554"/>
      <c r="C58" s="180"/>
      <c r="D58" s="556"/>
      <c r="E58" s="560"/>
      <c r="F58" s="187" t="s">
        <v>226</v>
      </c>
      <c r="G58" s="182">
        <v>12</v>
      </c>
      <c r="H58" s="183" t="str">
        <f>H56</f>
        <v>раз х</v>
      </c>
      <c r="I58" s="182">
        <v>1</v>
      </c>
      <c r="J58" s="183" t="str">
        <f>J56</f>
        <v>ед. х средняя цена с индексом потребительских цен</v>
      </c>
      <c r="K58" s="189">
        <f>ROUNDUP(K57*(1.041),2)</f>
        <v>3160.75</v>
      </c>
      <c r="L58" s="183" t="s">
        <v>41</v>
      </c>
      <c r="M58" s="182">
        <f t="shared" ref="M58" si="6">G58*I58*K58</f>
        <v>37929</v>
      </c>
      <c r="N58" s="183" t="s">
        <v>41</v>
      </c>
      <c r="O58" s="190">
        <f>ROUNDUP((M58),-2)</f>
        <v>38000</v>
      </c>
      <c r="P58" s="191" t="s">
        <v>37</v>
      </c>
      <c r="Q58" s="192"/>
      <c r="R58" s="181"/>
      <c r="S58" s="551"/>
      <c r="T58" s="551"/>
      <c r="U58" s="551"/>
      <c r="V58" s="180"/>
      <c r="W58" s="161" t="str">
        <f>""&amp;TEXT(G58,"0,0")&amp;" раз х "&amp;TEXT(I58,"0,0")&amp;" ед. х "&amp;TEXT(ROUND((M58/I58/G58),2),"0,00")&amp;" руб. = "&amp;TEXT(ROUND((G58*I58*(ROUND((M58/I58/G58),2))),2),"0 000,00")&amp;" руб. = "&amp;TEXT(O58,"0 000,00")&amp;" руб."</f>
        <v>12,0 раз х 1,0 ед. х 3160,75 руб. = 37 929,00 руб. = 38 000,00 руб.</v>
      </c>
    </row>
    <row r="59" spans="1:24" ht="127.5" customHeight="1" collapsed="1" x14ac:dyDescent="0.25">
      <c r="A59" s="383" t="s">
        <v>222</v>
      </c>
      <c r="B59" s="553" t="s">
        <v>116</v>
      </c>
      <c r="C59" s="180"/>
      <c r="D59" s="555">
        <v>225</v>
      </c>
      <c r="E59" s="555">
        <v>244</v>
      </c>
      <c r="F59" s="557" t="s">
        <v>237</v>
      </c>
      <c r="G59" s="557"/>
      <c r="H59" s="557"/>
      <c r="I59" s="557"/>
      <c r="J59" s="557"/>
      <c r="K59" s="557"/>
      <c r="L59" s="557"/>
      <c r="M59" s="557"/>
      <c r="N59" s="557"/>
      <c r="O59" s="557"/>
      <c r="P59" s="557"/>
      <c r="Q59" s="557"/>
      <c r="R59" s="557"/>
      <c r="S59" s="550">
        <f>O61</f>
        <v>6000</v>
      </c>
      <c r="T59" s="550">
        <f>O62</f>
        <v>6200</v>
      </c>
      <c r="U59" s="550">
        <f>O63</f>
        <v>6500</v>
      </c>
      <c r="V59" s="64"/>
      <c r="W59" s="161" t="s">
        <v>277</v>
      </c>
    </row>
    <row r="60" spans="1:24" ht="15" hidden="1" outlineLevel="1" x14ac:dyDescent="0.25">
      <c r="A60" s="383"/>
      <c r="B60" s="554"/>
      <c r="C60" s="180"/>
      <c r="D60" s="556"/>
      <c r="E60" s="560"/>
      <c r="F60" s="181"/>
      <c r="G60" s="182">
        <v>4</v>
      </c>
      <c r="H60" s="183" t="s">
        <v>270</v>
      </c>
      <c r="I60" s="182">
        <v>1</v>
      </c>
      <c r="J60" s="183" t="s">
        <v>231</v>
      </c>
      <c r="K60" s="182">
        <f>ROUNDUP((1422.19),2)</f>
        <v>1422.19</v>
      </c>
      <c r="L60" s="183" t="s">
        <v>41</v>
      </c>
      <c r="M60" s="182">
        <f>G60*I60*K60</f>
        <v>5688.76</v>
      </c>
      <c r="N60" s="183" t="s">
        <v>37</v>
      </c>
      <c r="O60" s="184"/>
      <c r="P60" s="185"/>
      <c r="Q60" s="186"/>
      <c r="R60" s="181"/>
      <c r="S60" s="550"/>
      <c r="T60" s="550"/>
      <c r="U60" s="550"/>
      <c r="V60" s="64"/>
      <c r="W60" s="161"/>
    </row>
    <row r="61" spans="1:24" ht="15" x14ac:dyDescent="0.25">
      <c r="A61" s="383"/>
      <c r="B61" s="554"/>
      <c r="C61" s="180"/>
      <c r="D61" s="556"/>
      <c r="E61" s="560"/>
      <c r="F61" s="187" t="s">
        <v>151</v>
      </c>
      <c r="G61" s="182">
        <v>4</v>
      </c>
      <c r="H61" s="188" t="s">
        <v>270</v>
      </c>
      <c r="I61" s="182">
        <v>1</v>
      </c>
      <c r="J61" s="188" t="s">
        <v>271</v>
      </c>
      <c r="K61" s="189">
        <f>ROUNDUP(K60*(1.04),2)</f>
        <v>1479.08</v>
      </c>
      <c r="L61" s="183" t="s">
        <v>41</v>
      </c>
      <c r="M61" s="182">
        <f>G61*I61*K61</f>
        <v>5916.32</v>
      </c>
      <c r="N61" s="183" t="s">
        <v>41</v>
      </c>
      <c r="O61" s="190">
        <f>ROUNDUP((M61),-2)</f>
        <v>6000</v>
      </c>
      <c r="P61" s="191" t="s">
        <v>37</v>
      </c>
      <c r="Q61" s="192"/>
      <c r="R61" s="181"/>
      <c r="S61" s="550"/>
      <c r="T61" s="550"/>
      <c r="U61" s="550"/>
      <c r="V61" s="64"/>
      <c r="W61" s="161" t="str">
        <f>""&amp;TEXT(G61,"0,0")&amp;" раз х "&amp;TEXT(I61,"0,0")&amp;" ед. х "&amp;TEXT(ROUND((M61/I61/G61),2),"0,00")&amp;" руб. = "&amp;TEXT(ROUND((G61*I61*(ROUND((M61/I61/G61),2))),2),"0 000,00")&amp;" руб. = "&amp;TEXT(O61,"0 000,00")&amp;" руб."</f>
        <v>4,0 раз х 1,0 ед. х 1479,08 руб. = 5 916,32 руб. = 6 000,00 руб.</v>
      </c>
    </row>
    <row r="62" spans="1:24" ht="15" x14ac:dyDescent="0.25">
      <c r="A62" s="383"/>
      <c r="B62" s="554"/>
      <c r="C62" s="180"/>
      <c r="D62" s="556"/>
      <c r="E62" s="560"/>
      <c r="F62" s="187" t="s">
        <v>193</v>
      </c>
      <c r="G62" s="182">
        <v>4</v>
      </c>
      <c r="H62" s="183" t="str">
        <f>H61</f>
        <v>раз х</v>
      </c>
      <c r="I62" s="182">
        <v>1</v>
      </c>
      <c r="J62" s="183" t="str">
        <f>J61</f>
        <v>ед. х средняя цена с индексом потребительских цен</v>
      </c>
      <c r="K62" s="189">
        <f>ROUNDUP(K61*(1.041),2)</f>
        <v>1539.73</v>
      </c>
      <c r="L62" s="183" t="s">
        <v>41</v>
      </c>
      <c r="M62" s="182">
        <f>G62*I62*K62</f>
        <v>6158.92</v>
      </c>
      <c r="N62" s="183" t="s">
        <v>41</v>
      </c>
      <c r="O62" s="190">
        <f>ROUNDUP((M62),-2)</f>
        <v>6200</v>
      </c>
      <c r="P62" s="191" t="s">
        <v>37</v>
      </c>
      <c r="Q62" s="192"/>
      <c r="R62" s="181"/>
      <c r="S62" s="550"/>
      <c r="T62" s="550"/>
      <c r="U62" s="550"/>
      <c r="V62" s="64"/>
      <c r="W62" s="161" t="str">
        <f>""&amp;TEXT(G62,"0,0")&amp;" раз х "&amp;TEXT(I62,"0,0")&amp;" ед. х "&amp;TEXT(ROUND((M62/I62/G62),2),"0,00")&amp;" руб. = "&amp;TEXT(ROUND((G62*I62*(ROUND((M62/I62/G62),2))),2),"0 000,00")&amp;" руб. = "&amp;TEXT(O62,"0 000,00")&amp;" руб."</f>
        <v>4,0 раз х 1,0 ед. х 1539,73 руб. = 6 158,92 руб. = 6 200,00 руб.</v>
      </c>
    </row>
    <row r="63" spans="1:24" ht="15" x14ac:dyDescent="0.25">
      <c r="A63" s="383"/>
      <c r="B63" s="554"/>
      <c r="C63" s="180"/>
      <c r="D63" s="556"/>
      <c r="E63" s="560"/>
      <c r="F63" s="187" t="s">
        <v>226</v>
      </c>
      <c r="G63" s="182">
        <v>4</v>
      </c>
      <c r="H63" s="183" t="str">
        <f>H61</f>
        <v>раз х</v>
      </c>
      <c r="I63" s="182">
        <v>1</v>
      </c>
      <c r="J63" s="183" t="str">
        <f>J61</f>
        <v>ед. х средняя цена с индексом потребительских цен</v>
      </c>
      <c r="K63" s="189">
        <f>ROUNDUP(K62*(1.041),2)</f>
        <v>1602.86</v>
      </c>
      <c r="L63" s="183" t="s">
        <v>41</v>
      </c>
      <c r="M63" s="182">
        <f t="shared" ref="M63" si="7">G63*I63*K63</f>
        <v>6411.44</v>
      </c>
      <c r="N63" s="183" t="s">
        <v>41</v>
      </c>
      <c r="O63" s="190">
        <f>ROUNDUP((M63),-2)</f>
        <v>6500</v>
      </c>
      <c r="P63" s="191" t="s">
        <v>37</v>
      </c>
      <c r="Q63" s="192"/>
      <c r="R63" s="181"/>
      <c r="S63" s="551"/>
      <c r="T63" s="551"/>
      <c r="U63" s="551"/>
      <c r="V63" s="64"/>
      <c r="W63" s="161" t="str">
        <f>""&amp;TEXT(G63,"0,0")&amp;" раз х "&amp;TEXT(I63,"0,0")&amp;" ед. х "&amp;TEXT(ROUND((M63/I63/G63),2),"0,00")&amp;" руб. = "&amp;TEXT(ROUND((G63*I63*(ROUND((M63/I63/G63),2))),2),"0 000,00")&amp;" руб. = "&amp;TEXT(O63,"0 000,00")&amp;" руб."</f>
        <v>4,0 раз х 1,0 ед. х 1602,86 руб. = 6 411,44 руб. = 6 500,00 руб.</v>
      </c>
    </row>
    <row r="64" spans="1:24" ht="31.5" x14ac:dyDescent="0.25">
      <c r="A64" s="156" t="s">
        <v>203</v>
      </c>
      <c r="B64" s="178" t="s">
        <v>204</v>
      </c>
      <c r="C64" s="158"/>
      <c r="D64" s="194" t="s">
        <v>205</v>
      </c>
      <c r="E64" s="194" t="s">
        <v>206</v>
      </c>
      <c r="F64" s="538"/>
      <c r="G64" s="539"/>
      <c r="H64" s="539"/>
      <c r="I64" s="539"/>
      <c r="J64" s="539"/>
      <c r="K64" s="539"/>
      <c r="L64" s="539"/>
      <c r="M64" s="539"/>
      <c r="N64" s="539"/>
      <c r="O64" s="539"/>
      <c r="P64" s="539"/>
      <c r="Q64" s="539"/>
      <c r="R64" s="539"/>
      <c r="S64" s="160">
        <f>S65+S70</f>
        <v>62900</v>
      </c>
      <c r="T64" s="160">
        <f t="shared" ref="T64:U64" si="8">T65+T70</f>
        <v>72500</v>
      </c>
      <c r="U64" s="160">
        <f t="shared" si="8"/>
        <v>68200</v>
      </c>
      <c r="V64" s="158"/>
      <c r="W64" s="161" t="str">
        <f>"Нормативные "&amp;TEXT(B64,"0")&amp;" включают в себя:
нормативные "&amp;TEXT(B65,"0")&amp;""</f>
        <v>Нормативные иные затраты на техническое обслуживание и содержание имущества включают в себя:
нормативные затраты по вывозу и утилизации отработанных картриджей</v>
      </c>
      <c r="X64" s="80"/>
    </row>
    <row r="65" spans="1:23" s="75" customFormat="1" ht="113.25" customHeight="1" collapsed="1" x14ac:dyDescent="0.25">
      <c r="A65" s="383" t="s">
        <v>207</v>
      </c>
      <c r="B65" s="553" t="s">
        <v>208</v>
      </c>
      <c r="C65" s="193"/>
      <c r="D65" s="555">
        <v>225</v>
      </c>
      <c r="E65" s="555">
        <v>244</v>
      </c>
      <c r="F65" s="557" t="s">
        <v>237</v>
      </c>
      <c r="G65" s="557"/>
      <c r="H65" s="557"/>
      <c r="I65" s="557"/>
      <c r="J65" s="557"/>
      <c r="K65" s="557"/>
      <c r="L65" s="557"/>
      <c r="M65" s="557"/>
      <c r="N65" s="557"/>
      <c r="O65" s="557"/>
      <c r="P65" s="557"/>
      <c r="Q65" s="557"/>
      <c r="R65" s="557"/>
      <c r="S65" s="550">
        <f>O67</f>
        <v>62900</v>
      </c>
      <c r="T65" s="550">
        <f>O68</f>
        <v>65500</v>
      </c>
      <c r="U65" s="550">
        <f>O69</f>
        <v>68200</v>
      </c>
      <c r="V65" s="193"/>
      <c r="W65" s="195" t="s">
        <v>278</v>
      </c>
    </row>
    <row r="66" spans="1:23" ht="21" hidden="1" customHeight="1" outlineLevel="1" x14ac:dyDescent="0.25">
      <c r="A66" s="383"/>
      <c r="B66" s="554"/>
      <c r="C66" s="180"/>
      <c r="D66" s="556"/>
      <c r="E66" s="560"/>
      <c r="F66" s="181"/>
      <c r="G66" s="182">
        <v>1</v>
      </c>
      <c r="H66" s="183" t="s">
        <v>270</v>
      </c>
      <c r="I66" s="182">
        <v>1</v>
      </c>
      <c r="J66" s="183" t="s">
        <v>231</v>
      </c>
      <c r="K66" s="182">
        <f>ROUNDUP((60450),2)</f>
        <v>60450</v>
      </c>
      <c r="L66" s="183" t="s">
        <v>41</v>
      </c>
      <c r="M66" s="182">
        <f>G66*I66*K66</f>
        <v>60450</v>
      </c>
      <c r="N66" s="183" t="s">
        <v>37</v>
      </c>
      <c r="O66" s="184"/>
      <c r="P66" s="185"/>
      <c r="Q66" s="186"/>
      <c r="R66" s="181"/>
      <c r="S66" s="550"/>
      <c r="T66" s="550"/>
      <c r="U66" s="550"/>
      <c r="V66" s="180"/>
      <c r="W66" s="161"/>
    </row>
    <row r="67" spans="1:23" ht="15" x14ac:dyDescent="0.25">
      <c r="A67" s="383"/>
      <c r="B67" s="554"/>
      <c r="C67" s="180"/>
      <c r="D67" s="556"/>
      <c r="E67" s="560"/>
      <c r="F67" s="187" t="s">
        <v>151</v>
      </c>
      <c r="G67" s="182">
        <v>1</v>
      </c>
      <c r="H67" s="188" t="s">
        <v>270</v>
      </c>
      <c r="I67" s="182">
        <v>1</v>
      </c>
      <c r="J67" s="188" t="s">
        <v>271</v>
      </c>
      <c r="K67" s="189">
        <f>ROUNDUP(K66*(1.04),2)</f>
        <v>62868</v>
      </c>
      <c r="L67" s="183" t="s">
        <v>41</v>
      </c>
      <c r="M67" s="182">
        <f>G67*I67*K67</f>
        <v>62868</v>
      </c>
      <c r="N67" s="183" t="s">
        <v>41</v>
      </c>
      <c r="O67" s="190">
        <f>ROUNDUP((M67),-2)</f>
        <v>62900</v>
      </c>
      <c r="P67" s="191" t="s">
        <v>37</v>
      </c>
      <c r="Q67" s="192"/>
      <c r="R67" s="181"/>
      <c r="S67" s="550"/>
      <c r="T67" s="550"/>
      <c r="U67" s="550"/>
      <c r="V67" s="180"/>
      <c r="W67" s="161" t="str">
        <f>""&amp;TEXT(G67,"0,0")&amp;" раз х "&amp;TEXT(I67,"0,0")&amp;" ед. х "&amp;TEXT(ROUND((M67/I67/G67),2),"0,00")&amp;" руб. = "&amp;TEXT(ROUND((G67*I67*(ROUND((M67/I67/G67),2))),2),"0 000,00")&amp;" руб. = "&amp;TEXT(O67,"0 000,00")&amp;" руб."</f>
        <v>1,0 раз х 1,0 ед. х 62868,00 руб. = 62 868,00 руб. = 62 900,00 руб.</v>
      </c>
    </row>
    <row r="68" spans="1:23" ht="15" x14ac:dyDescent="0.25">
      <c r="A68" s="383"/>
      <c r="B68" s="554"/>
      <c r="C68" s="180"/>
      <c r="D68" s="556"/>
      <c r="E68" s="560"/>
      <c r="F68" s="187" t="s">
        <v>193</v>
      </c>
      <c r="G68" s="182">
        <v>1</v>
      </c>
      <c r="H68" s="183" t="str">
        <f>H67</f>
        <v>раз х</v>
      </c>
      <c r="I68" s="182">
        <v>1</v>
      </c>
      <c r="J68" s="183" t="str">
        <f>J67</f>
        <v>ед. х средняя цена с индексом потребительских цен</v>
      </c>
      <c r="K68" s="189">
        <f>ROUNDUP(K67*(1.041),2)</f>
        <v>65445.590000000004</v>
      </c>
      <c r="L68" s="183" t="s">
        <v>41</v>
      </c>
      <c r="M68" s="182">
        <f t="shared" ref="M68:M69" si="9">G68*I68*K68</f>
        <v>65445.590000000004</v>
      </c>
      <c r="N68" s="183" t="s">
        <v>41</v>
      </c>
      <c r="O68" s="190">
        <f>ROUNDUP((M68),-2)</f>
        <v>65500</v>
      </c>
      <c r="P68" s="191" t="s">
        <v>37</v>
      </c>
      <c r="Q68" s="192"/>
      <c r="R68" s="181"/>
      <c r="S68" s="550"/>
      <c r="T68" s="550"/>
      <c r="U68" s="550"/>
      <c r="V68" s="180"/>
      <c r="W68" s="161" t="str">
        <f>""&amp;TEXT(G68,"0,0")&amp;" раз х "&amp;TEXT(I68,"0,0")&amp;" ед. х "&amp;TEXT(ROUND((M68/I68/G68),2),"0,00")&amp;" руб. = "&amp;TEXT(ROUND((G68*I68*(ROUND((M68/I68/G68),2))),2),"0 000,00")&amp;" руб. = "&amp;TEXT(O68,"0 000,00")&amp;" руб."</f>
        <v>1,0 раз х 1,0 ед. х 65445,59 руб. = 65 445,59 руб. = 65 500,00 руб.</v>
      </c>
    </row>
    <row r="69" spans="1:23" ht="15" x14ac:dyDescent="0.25">
      <c r="A69" s="383"/>
      <c r="B69" s="554"/>
      <c r="C69" s="180"/>
      <c r="D69" s="556"/>
      <c r="E69" s="560"/>
      <c r="F69" s="187" t="s">
        <v>226</v>
      </c>
      <c r="G69" s="182">
        <v>1</v>
      </c>
      <c r="H69" s="183" t="str">
        <f>H67</f>
        <v>раз х</v>
      </c>
      <c r="I69" s="182">
        <v>1</v>
      </c>
      <c r="J69" s="183" t="str">
        <f>J67</f>
        <v>ед. х средняя цена с индексом потребительских цен</v>
      </c>
      <c r="K69" s="189">
        <f>ROUNDUP(K68*(1.041),2)</f>
        <v>68128.86</v>
      </c>
      <c r="L69" s="183" t="s">
        <v>41</v>
      </c>
      <c r="M69" s="182">
        <f t="shared" si="9"/>
        <v>68128.86</v>
      </c>
      <c r="N69" s="183" t="s">
        <v>41</v>
      </c>
      <c r="O69" s="190">
        <f>ROUNDUP((M69),-2)</f>
        <v>68200</v>
      </c>
      <c r="P69" s="191" t="s">
        <v>37</v>
      </c>
      <c r="Q69" s="192"/>
      <c r="R69" s="181"/>
      <c r="S69" s="551"/>
      <c r="T69" s="551"/>
      <c r="U69" s="551"/>
      <c r="V69" s="180"/>
      <c r="W69" s="161" t="str">
        <f>""&amp;TEXT(G69,"0,0")&amp;" раз х "&amp;TEXT(I69,"0,0")&amp;" ед. х "&amp;TEXT(ROUND((M69/I69/G69),2),"0,00")&amp;" руб. = "&amp;TEXT(ROUND((G69*I69*(ROUND((M69/I69/G69),2))),2),"0 000,00")&amp;" руб. = "&amp;TEXT(O69,"0 000,00")&amp;" руб."</f>
        <v>1,0 раз х 1,0 ед. х 68128,86 руб. = 68 128,86 руб. = 68 200,00 руб.</v>
      </c>
    </row>
    <row r="70" spans="1:23" s="199" customFormat="1" ht="118.5" customHeight="1" collapsed="1" x14ac:dyDescent="0.25">
      <c r="A70" s="383" t="s">
        <v>238</v>
      </c>
      <c r="B70" s="561" t="s">
        <v>236</v>
      </c>
      <c r="C70" s="196"/>
      <c r="D70" s="563">
        <v>225</v>
      </c>
      <c r="E70" s="563">
        <v>244</v>
      </c>
      <c r="F70" s="566"/>
      <c r="G70" s="566"/>
      <c r="H70" s="566"/>
      <c r="I70" s="566"/>
      <c r="J70" s="566"/>
      <c r="K70" s="566"/>
      <c r="L70" s="566"/>
      <c r="M70" s="566"/>
      <c r="N70" s="566"/>
      <c r="O70" s="566"/>
      <c r="P70" s="566"/>
      <c r="Q70" s="566"/>
      <c r="R70" s="566"/>
      <c r="S70" s="197">
        <f>O72</f>
        <v>0</v>
      </c>
      <c r="T70" s="197">
        <f>O73</f>
        <v>7000</v>
      </c>
      <c r="U70" s="197">
        <f>O74</f>
        <v>0</v>
      </c>
      <c r="V70" s="196"/>
      <c r="W70" s="198" t="s">
        <v>279</v>
      </c>
    </row>
    <row r="71" spans="1:23" s="204" customFormat="1" ht="15" hidden="1" customHeight="1" outlineLevel="1" x14ac:dyDescent="0.25">
      <c r="A71" s="383"/>
      <c r="B71" s="562"/>
      <c r="C71" s="200"/>
      <c r="D71" s="564"/>
      <c r="E71" s="565"/>
      <c r="F71" s="201"/>
      <c r="G71" s="202"/>
      <c r="H71" s="203" t="s">
        <v>77</v>
      </c>
      <c r="I71" s="202"/>
      <c r="J71" s="203" t="s">
        <v>67</v>
      </c>
      <c r="K71" s="202"/>
      <c r="L71" s="203" t="s">
        <v>41</v>
      </c>
      <c r="M71" s="202"/>
      <c r="N71" s="203" t="s">
        <v>37</v>
      </c>
      <c r="P71" s="205"/>
      <c r="Q71" s="206"/>
      <c r="R71" s="207"/>
      <c r="S71" s="197"/>
      <c r="T71" s="197"/>
      <c r="U71" s="197"/>
      <c r="V71" s="200"/>
      <c r="W71" s="198"/>
    </row>
    <row r="72" spans="1:23" s="204" customFormat="1" ht="18" hidden="1" customHeight="1" x14ac:dyDescent="0.25">
      <c r="A72" s="383"/>
      <c r="B72" s="562"/>
      <c r="C72" s="200"/>
      <c r="D72" s="564"/>
      <c r="E72" s="565"/>
      <c r="F72" s="208" t="s">
        <v>151</v>
      </c>
      <c r="G72" s="202">
        <v>0</v>
      </c>
      <c r="H72" s="203" t="s">
        <v>77</v>
      </c>
      <c r="I72" s="209">
        <v>0</v>
      </c>
      <c r="J72" s="203" t="s">
        <v>25</v>
      </c>
      <c r="K72" s="202">
        <v>0</v>
      </c>
      <c r="L72" s="203" t="s">
        <v>41</v>
      </c>
      <c r="M72" s="202">
        <f>ROUND((G72*I72*K72),2)</f>
        <v>0</v>
      </c>
      <c r="N72" s="203" t="s">
        <v>37</v>
      </c>
      <c r="O72" s="210">
        <f>ROUNDUP((M72),-2)</f>
        <v>0</v>
      </c>
      <c r="P72" s="211" t="s">
        <v>37</v>
      </c>
      <c r="Q72" s="212"/>
      <c r="R72" s="207"/>
      <c r="S72" s="197"/>
      <c r="T72" s="197"/>
      <c r="U72" s="197"/>
      <c r="V72" s="200"/>
      <c r="W72" s="198" t="str">
        <f>""&amp;TEXT($G$72,"0,0")&amp;" шт. х "&amp;TEXT($I$72,"0,0")&amp;" раз х "&amp;TEXT(ROUND((K72),2),"000,00")&amp;" руб. = "&amp;TEXT(ROUND((M72),2),"000,00")&amp;" руб. = "&amp;TEXT(O72,"0 000,00")&amp;" руб."</f>
        <v>0,0 шт. х 0,0 раз х 000,00 руб. = 000,00 руб. = 0 000,00 руб.</v>
      </c>
    </row>
    <row r="73" spans="1:23" s="204" customFormat="1" ht="18.75" customHeight="1" x14ac:dyDescent="0.25">
      <c r="A73" s="383"/>
      <c r="B73" s="562"/>
      <c r="C73" s="200"/>
      <c r="D73" s="564"/>
      <c r="E73" s="565"/>
      <c r="F73" s="208" t="s">
        <v>193</v>
      </c>
      <c r="G73" s="202">
        <v>61</v>
      </c>
      <c r="H73" s="203" t="s">
        <v>77</v>
      </c>
      <c r="I73" s="209">
        <v>1</v>
      </c>
      <c r="J73" s="203" t="s">
        <v>25</v>
      </c>
      <c r="K73" s="209">
        <v>114</v>
      </c>
      <c r="L73" s="203" t="s">
        <v>41</v>
      </c>
      <c r="M73" s="202">
        <f t="shared" ref="M73:M74" si="10">ROUND((G73*I73*K73),2)</f>
        <v>6954</v>
      </c>
      <c r="N73" s="203" t="s">
        <v>37</v>
      </c>
      <c r="O73" s="210">
        <f>ROUNDUP((M73),-2)</f>
        <v>7000</v>
      </c>
      <c r="P73" s="211" t="s">
        <v>37</v>
      </c>
      <c r="Q73" s="212"/>
      <c r="R73" s="207"/>
      <c r="S73" s="197"/>
      <c r="T73" s="197"/>
      <c r="U73" s="197"/>
      <c r="V73" s="200"/>
      <c r="W73" s="198" t="str">
        <f>""&amp;TEXT($G$73,"0,0")&amp;" шт. х "&amp;TEXT($I$38,"0,0")&amp;" раз х "&amp;TEXT(ROUND((K73),2),"000,00")&amp;" руб. = "&amp;TEXT(ROUND((M73),2),"000,00")&amp;" руб. = "&amp;TEXT(O73,"0 000,00")&amp;" руб."</f>
        <v>61,0 шт. х 1,0 раз х 114,00 руб. = 6954,00 руб. = 7 000,00 руб.</v>
      </c>
    </row>
    <row r="74" spans="1:23" s="204" customFormat="1" ht="19.5" hidden="1" customHeight="1" x14ac:dyDescent="0.25">
      <c r="A74" s="383"/>
      <c r="B74" s="562"/>
      <c r="C74" s="200"/>
      <c r="D74" s="564"/>
      <c r="E74" s="565"/>
      <c r="F74" s="208" t="s">
        <v>226</v>
      </c>
      <c r="G74" s="202">
        <v>0</v>
      </c>
      <c r="H74" s="203" t="s">
        <v>77</v>
      </c>
      <c r="I74" s="209">
        <v>0</v>
      </c>
      <c r="J74" s="203" t="s">
        <v>25</v>
      </c>
      <c r="K74" s="209">
        <v>0</v>
      </c>
      <c r="L74" s="203" t="s">
        <v>41</v>
      </c>
      <c r="M74" s="202">
        <f t="shared" si="10"/>
        <v>0</v>
      </c>
      <c r="N74" s="203" t="s">
        <v>37</v>
      </c>
      <c r="O74" s="210">
        <f>ROUNDUP((M74),-2)</f>
        <v>0</v>
      </c>
      <c r="P74" s="211" t="s">
        <v>37</v>
      </c>
      <c r="Q74" s="210"/>
      <c r="R74" s="207"/>
      <c r="S74" s="213"/>
      <c r="T74" s="213"/>
      <c r="U74" s="213"/>
      <c r="V74" s="200"/>
      <c r="W74" s="198" t="str">
        <f>""&amp;TEXT($G$74,"0,0")&amp;" шт. х "&amp;TEXT($I$74,"0,0")&amp;" раз х "&amp;TEXT(ROUND((K74),2),"000,00")&amp;" руб. = "&amp;TEXT(ROUND((M74),2),"000,00")&amp;" руб. = "&amp;TEXT(O74,"0 000,00")&amp;" руб."</f>
        <v>0,0 шт. х 0,0 раз х 000,00 руб. = 000,00 руб. = 0 000,00 руб.</v>
      </c>
    </row>
    <row r="75" spans="1:23" x14ac:dyDescent="0.25">
      <c r="A75" s="148"/>
      <c r="B75" s="119"/>
      <c r="C75" s="82"/>
      <c r="D75" s="144"/>
      <c r="E75" s="146"/>
      <c r="F75" s="68"/>
      <c r="G75" s="147"/>
      <c r="H75" s="67"/>
      <c r="I75" s="147"/>
      <c r="J75" s="67"/>
      <c r="K75" s="69"/>
      <c r="L75" s="67"/>
      <c r="M75" s="147"/>
      <c r="N75" s="67"/>
      <c r="O75" s="70"/>
      <c r="P75" s="71"/>
      <c r="Q75" s="72"/>
      <c r="R75" s="61"/>
      <c r="S75" s="145"/>
      <c r="T75" s="145"/>
      <c r="U75" s="145"/>
      <c r="V75" s="85"/>
      <c r="W75" s="86"/>
    </row>
    <row r="76" spans="1:23" ht="124.5" customHeight="1" x14ac:dyDescent="0.25">
      <c r="A76" s="214" t="s">
        <v>12</v>
      </c>
      <c r="B76" s="215" t="s">
        <v>109</v>
      </c>
      <c r="C76" s="216"/>
      <c r="D76" s="159" t="s">
        <v>35</v>
      </c>
      <c r="E76" s="159" t="s">
        <v>35</v>
      </c>
      <c r="F76" s="538"/>
      <c r="G76" s="539"/>
      <c r="H76" s="539"/>
      <c r="I76" s="539"/>
      <c r="J76" s="539"/>
      <c r="K76" s="539"/>
      <c r="L76" s="539"/>
      <c r="M76" s="539"/>
      <c r="N76" s="539"/>
      <c r="O76" s="539"/>
      <c r="P76" s="539"/>
      <c r="Q76" s="539"/>
      <c r="R76" s="539"/>
      <c r="S76" s="217">
        <f>SUM(S77,S82,S93,S98)</f>
        <v>571600</v>
      </c>
      <c r="T76" s="217">
        <f>SUM(T77,T82,T93,T98)</f>
        <v>592700</v>
      </c>
      <c r="U76" s="217">
        <f>SUM(U77,U82,U93,U98)</f>
        <v>619300</v>
      </c>
      <c r="V76" s="218"/>
      <c r="W76" s="161" t="s">
        <v>280</v>
      </c>
    </row>
    <row r="77" spans="1:23" ht="62.25" customHeight="1" x14ac:dyDescent="0.25">
      <c r="A77" s="177" t="s">
        <v>13</v>
      </c>
      <c r="B77" s="219" t="s">
        <v>104</v>
      </c>
      <c r="C77" s="158"/>
      <c r="D77" s="159" t="s">
        <v>35</v>
      </c>
      <c r="E77" s="159" t="s">
        <v>35</v>
      </c>
      <c r="F77" s="538"/>
      <c r="G77" s="539"/>
      <c r="H77" s="539"/>
      <c r="I77" s="539"/>
      <c r="J77" s="539"/>
      <c r="K77" s="539"/>
      <c r="L77" s="539"/>
      <c r="M77" s="539"/>
      <c r="N77" s="539"/>
      <c r="O77" s="539"/>
      <c r="P77" s="539"/>
      <c r="Q77" s="539"/>
      <c r="R77" s="539"/>
      <c r="S77" s="179">
        <f>SUM(S78)</f>
        <v>429400</v>
      </c>
      <c r="T77" s="179">
        <f>SUM(T78)</f>
        <v>447300</v>
      </c>
      <c r="U77" s="179">
        <f>SUM(U78)</f>
        <v>465100</v>
      </c>
      <c r="V77" s="158"/>
      <c r="W77" s="220" t="str">
        <f>"Нормативные "&amp;TEXT(B77,"0")&amp;" включают в себя:
нормативные "&amp;TEXT(B78,"0")&amp;""</f>
        <v>Нормативные затраты на оплату типографских работ и услуг, включая приобретение периодических печатных изданий включают в себя:
нормативные затраты на приобретение периодических печатных изданий</v>
      </c>
    </row>
    <row r="78" spans="1:23" ht="90" x14ac:dyDescent="0.25">
      <c r="A78" s="567" t="s">
        <v>130</v>
      </c>
      <c r="B78" s="540" t="s">
        <v>103</v>
      </c>
      <c r="C78" s="170"/>
      <c r="D78" s="542">
        <v>226</v>
      </c>
      <c r="E78" s="542">
        <v>244</v>
      </c>
      <c r="F78" s="544" t="s">
        <v>52</v>
      </c>
      <c r="G78" s="544"/>
      <c r="H78" s="544"/>
      <c r="I78" s="544"/>
      <c r="J78" s="544"/>
      <c r="K78" s="544"/>
      <c r="L78" s="544"/>
      <c r="M78" s="544"/>
      <c r="N78" s="544"/>
      <c r="O78" s="544"/>
      <c r="P78" s="544"/>
      <c r="Q78" s="544"/>
      <c r="R78" s="544"/>
      <c r="S78" s="545">
        <f>O79</f>
        <v>429400</v>
      </c>
      <c r="T78" s="545">
        <f>O80</f>
        <v>447300</v>
      </c>
      <c r="U78" s="545">
        <f>O81</f>
        <v>465100</v>
      </c>
      <c r="V78" s="170"/>
      <c r="W78" s="163" t="s">
        <v>51</v>
      </c>
    </row>
    <row r="79" spans="1:23" ht="15" x14ac:dyDescent="0.25">
      <c r="A79" s="567"/>
      <c r="B79" s="541"/>
      <c r="C79" s="170"/>
      <c r="D79" s="543"/>
      <c r="E79" s="543"/>
      <c r="F79" s="164" t="s">
        <v>151</v>
      </c>
      <c r="G79" s="165">
        <v>213</v>
      </c>
      <c r="H79" s="166" t="s">
        <v>48</v>
      </c>
      <c r="I79" s="165">
        <v>168</v>
      </c>
      <c r="J79" s="166" t="s">
        <v>49</v>
      </c>
      <c r="K79" s="165">
        <v>12</v>
      </c>
      <c r="L79" s="166" t="s">
        <v>50</v>
      </c>
      <c r="M79" s="165">
        <f>ROUND((G79*I79*K79),2)</f>
        <v>429408</v>
      </c>
      <c r="N79" s="166" t="s">
        <v>41</v>
      </c>
      <c r="O79" s="167">
        <f>ROUNDDOWN((M79),-2)</f>
        <v>429400</v>
      </c>
      <c r="P79" s="168" t="s">
        <v>37</v>
      </c>
      <c r="Q79" s="166"/>
      <c r="R79" s="171"/>
      <c r="S79" s="545"/>
      <c r="T79" s="545"/>
      <c r="U79" s="545"/>
      <c r="V79" s="170"/>
      <c r="W79" s="163" t="str">
        <f>""&amp;TEXT(G79,"000,00")&amp;" шт.ед. х норматив "&amp;TEXT(I79,"0,00")&amp;" руб. х "&amp;TEXT(K79,"00,0")&amp;" мес.  = "&amp;TEXT(M79,"0 000,00")&amp;" руб. = "&amp;TEXT(O79,"0 000,00")&amp;" руб."</f>
        <v>213,00 шт.ед. х норматив 168,00 руб. х 12,0 мес.  = 429 408,00 руб. = 429 400,00 руб.</v>
      </c>
    </row>
    <row r="80" spans="1:23" ht="15" x14ac:dyDescent="0.25">
      <c r="A80" s="567"/>
      <c r="B80" s="541"/>
      <c r="C80" s="170"/>
      <c r="D80" s="543"/>
      <c r="E80" s="543"/>
      <c r="F80" s="164" t="s">
        <v>193</v>
      </c>
      <c r="G80" s="165">
        <v>213</v>
      </c>
      <c r="H80" s="166" t="s">
        <v>48</v>
      </c>
      <c r="I80" s="165">
        <v>175</v>
      </c>
      <c r="J80" s="166" t="s">
        <v>49</v>
      </c>
      <c r="K80" s="165">
        <v>12</v>
      </c>
      <c r="L80" s="166" t="s">
        <v>50</v>
      </c>
      <c r="M80" s="165">
        <f t="shared" ref="M80:M81" si="11">ROUND((G80*I80*K80),2)</f>
        <v>447300</v>
      </c>
      <c r="N80" s="166" t="s">
        <v>41</v>
      </c>
      <c r="O80" s="167">
        <f>ROUNDDOWN((M80),-2)</f>
        <v>447300</v>
      </c>
      <c r="P80" s="168" t="s">
        <v>37</v>
      </c>
      <c r="Q80" s="166"/>
      <c r="R80" s="171"/>
      <c r="S80" s="545"/>
      <c r="T80" s="545"/>
      <c r="U80" s="545"/>
      <c r="V80" s="170"/>
      <c r="W80" s="163" t="str">
        <f>""&amp;TEXT(G80,"000,00")&amp;" шт.ед. х норматив "&amp;TEXT(I80,"0,00")&amp;" руб. х "&amp;TEXT(K80,"00,0")&amp;" мес.  = "&amp;TEXT(M80,"0 000,00")&amp;" руб. = "&amp;TEXT(O80,"0 000,00")&amp;" руб."</f>
        <v>213,00 шт.ед. х норматив 175,00 руб. х 12,0 мес.  = 447 300,00 руб. = 447 300,00 руб.</v>
      </c>
    </row>
    <row r="81" spans="1:23" ht="15" x14ac:dyDescent="0.25">
      <c r="A81" s="567"/>
      <c r="B81" s="541"/>
      <c r="C81" s="170"/>
      <c r="D81" s="543"/>
      <c r="E81" s="543"/>
      <c r="F81" s="164" t="s">
        <v>226</v>
      </c>
      <c r="G81" s="165">
        <v>213</v>
      </c>
      <c r="H81" s="166" t="s">
        <v>48</v>
      </c>
      <c r="I81" s="165">
        <v>182</v>
      </c>
      <c r="J81" s="166" t="s">
        <v>49</v>
      </c>
      <c r="K81" s="165">
        <v>12</v>
      </c>
      <c r="L81" s="166" t="s">
        <v>50</v>
      </c>
      <c r="M81" s="165">
        <f t="shared" si="11"/>
        <v>465192</v>
      </c>
      <c r="N81" s="166" t="s">
        <v>41</v>
      </c>
      <c r="O81" s="167">
        <f>ROUNDDOWN((M81),-2)</f>
        <v>465100</v>
      </c>
      <c r="P81" s="168" t="s">
        <v>37</v>
      </c>
      <c r="Q81" s="166"/>
      <c r="R81" s="171"/>
      <c r="S81" s="545"/>
      <c r="T81" s="545"/>
      <c r="U81" s="545"/>
      <c r="V81" s="170"/>
      <c r="W81" s="163" t="str">
        <f>""&amp;TEXT(G81,"000,00")&amp;" шт.ед. х норматив "&amp;TEXT(I81,"0,00")&amp;" руб. х "&amp;TEXT(K81,"00,0")&amp;" мес.  = "&amp;TEXT(M81,"0 000,00")&amp;" руб. = "&amp;TEXT(O81,"0 000,00")&amp;" руб."</f>
        <v>213,00 шт.ед. х норматив 182,00 руб. х 12,0 мес.  = 465 192,00 руб. = 465 100,00 руб.</v>
      </c>
    </row>
    <row r="82" spans="1:23" ht="59.25" customHeight="1" x14ac:dyDescent="0.25">
      <c r="A82" s="177" t="s">
        <v>30</v>
      </c>
      <c r="B82" s="157" t="s">
        <v>281</v>
      </c>
      <c r="C82" s="158"/>
      <c r="D82" s="159" t="s">
        <v>35</v>
      </c>
      <c r="E82" s="159" t="s">
        <v>35</v>
      </c>
      <c r="F82" s="557"/>
      <c r="G82" s="557"/>
      <c r="H82" s="557"/>
      <c r="I82" s="557"/>
      <c r="J82" s="557"/>
      <c r="K82" s="557"/>
      <c r="L82" s="557"/>
      <c r="M82" s="557"/>
      <c r="N82" s="557"/>
      <c r="O82" s="557"/>
      <c r="P82" s="557"/>
      <c r="Q82" s="557"/>
      <c r="R82" s="557"/>
      <c r="S82" s="179">
        <f>SUM(S83,S88)</f>
        <v>27000</v>
      </c>
      <c r="T82" s="179">
        <f>SUM(T83,T88)</f>
        <v>25500</v>
      </c>
      <c r="U82" s="179">
        <f>SUM(U83,U88)</f>
        <v>29300</v>
      </c>
      <c r="V82" s="52"/>
      <c r="W82" s="161" t="str">
        <f>"Нормативные "&amp;TEXT(B82,"0")&amp;" включают в себя:
нормативные "&amp;TEXT(B83,"0")&amp;";   нормативные "&amp;TEXT(B88,"0")&amp;""</f>
        <v>Нормативные затраты на проведение  осмотра водителей транспортных средств включают в себя:
нормативные затраты на проведение периодического медицинского осмотра;   нормативные затраты на проведение предрейсового медицинского осмотра</v>
      </c>
    </row>
    <row r="83" spans="1:23" ht="105" collapsed="1" x14ac:dyDescent="0.25">
      <c r="A83" s="383" t="s">
        <v>125</v>
      </c>
      <c r="B83" s="553" t="s">
        <v>106</v>
      </c>
      <c r="C83" s="180"/>
      <c r="D83" s="555">
        <v>226</v>
      </c>
      <c r="E83" s="555">
        <v>244</v>
      </c>
      <c r="F83" s="557" t="s">
        <v>268</v>
      </c>
      <c r="G83" s="557"/>
      <c r="H83" s="557"/>
      <c r="I83" s="557"/>
      <c r="J83" s="557"/>
      <c r="K83" s="557"/>
      <c r="L83" s="557"/>
      <c r="M83" s="557"/>
      <c r="N83" s="557"/>
      <c r="O83" s="557"/>
      <c r="P83" s="557"/>
      <c r="Q83" s="557"/>
      <c r="R83" s="557"/>
      <c r="S83" s="550">
        <f>O85</f>
        <v>2500</v>
      </c>
      <c r="T83" s="550">
        <f>O86</f>
        <v>0</v>
      </c>
      <c r="U83" s="550">
        <f>O87</f>
        <v>2800</v>
      </c>
      <c r="V83" s="64"/>
      <c r="W83" s="161" t="s">
        <v>282</v>
      </c>
    </row>
    <row r="84" spans="1:23" ht="15" hidden="1" outlineLevel="1" x14ac:dyDescent="0.25">
      <c r="A84" s="383"/>
      <c r="B84" s="554"/>
      <c r="C84" s="180"/>
      <c r="D84" s="556"/>
      <c r="E84" s="560"/>
      <c r="F84" s="181"/>
      <c r="G84" s="182">
        <v>1</v>
      </c>
      <c r="H84" s="183" t="s">
        <v>66</v>
      </c>
      <c r="I84" s="182">
        <v>1</v>
      </c>
      <c r="J84" s="183" t="s">
        <v>73</v>
      </c>
      <c r="K84" s="182">
        <f>ROUNDUP((2500/1),2)</f>
        <v>2500</v>
      </c>
      <c r="L84" s="183" t="s">
        <v>41</v>
      </c>
      <c r="M84" s="182">
        <f>G84*I84*K84</f>
        <v>2500</v>
      </c>
      <c r="N84" s="183" t="s">
        <v>37</v>
      </c>
      <c r="O84" s="184"/>
      <c r="P84" s="185"/>
      <c r="Q84" s="186"/>
      <c r="R84" s="181"/>
      <c r="S84" s="550"/>
      <c r="T84" s="550"/>
      <c r="U84" s="550"/>
      <c r="V84" s="64"/>
      <c r="W84" s="161"/>
    </row>
    <row r="85" spans="1:23" ht="15" x14ac:dyDescent="0.25">
      <c r="A85" s="383"/>
      <c r="B85" s="554"/>
      <c r="C85" s="180"/>
      <c r="D85" s="556"/>
      <c r="E85" s="560"/>
      <c r="F85" s="187" t="s">
        <v>151</v>
      </c>
      <c r="G85" s="182">
        <v>1</v>
      </c>
      <c r="H85" s="188" t="s">
        <v>66</v>
      </c>
      <c r="I85" s="182">
        <v>1</v>
      </c>
      <c r="J85" s="188" t="s">
        <v>283</v>
      </c>
      <c r="K85" s="189">
        <f>ROUNDUP(K84*(1.04-1.04+1),2)</f>
        <v>2500</v>
      </c>
      <c r="L85" s="183" t="s">
        <v>41</v>
      </c>
      <c r="M85" s="182">
        <f>G85*I85*K85</f>
        <v>2500</v>
      </c>
      <c r="N85" s="183" t="s">
        <v>41</v>
      </c>
      <c r="O85" s="190">
        <f>ROUNDUP((M85),-2)</f>
        <v>2500</v>
      </c>
      <c r="P85" s="191" t="s">
        <v>37</v>
      </c>
      <c r="Q85" s="192"/>
      <c r="R85" s="181"/>
      <c r="S85" s="550"/>
      <c r="T85" s="550"/>
      <c r="U85" s="550"/>
      <c r="V85" s="64"/>
      <c r="W85" s="161" t="str">
        <f>""&amp;TEXT(G85,"0,0")&amp;" чел. х "&amp;TEXT(I85,"0,0")&amp;" раз х "&amp;TEXT(ROUND((M85/I85/G85),2),"0,00")&amp;" руб. = "&amp;TEXT(ROUND((G85*I85*(ROUND((M85/I85/G85),2))),2),"0 000,00")&amp;" руб. = "&amp;TEXT(O85,"0 000,00")&amp;" руб."</f>
        <v>1,0 чел. х 1,0 раз х 2500,00 руб. = 2 500,00 руб. = 2 500,00 руб.</v>
      </c>
    </row>
    <row r="86" spans="1:23" ht="15" outlineLevel="1" collapsed="1" x14ac:dyDescent="0.25">
      <c r="A86" s="383"/>
      <c r="B86" s="554"/>
      <c r="C86" s="180"/>
      <c r="D86" s="556"/>
      <c r="E86" s="560"/>
      <c r="F86" s="187" t="s">
        <v>193</v>
      </c>
      <c r="G86" s="182">
        <v>0</v>
      </c>
      <c r="H86" s="183" t="str">
        <f>H85</f>
        <v>чел. х</v>
      </c>
      <c r="I86" s="182">
        <v>0</v>
      </c>
      <c r="J86" s="183" t="str">
        <f>J85</f>
        <v>раз х средняя цена с индексом потребительских цен</v>
      </c>
      <c r="K86" s="189">
        <f>ROUNDUP(K85*(1.041),2)</f>
        <v>2602.5</v>
      </c>
      <c r="L86" s="183" t="s">
        <v>41</v>
      </c>
      <c r="M86" s="182">
        <f>G86*I86*K86</f>
        <v>0</v>
      </c>
      <c r="N86" s="183" t="s">
        <v>41</v>
      </c>
      <c r="O86" s="190">
        <f>ROUNDUP((M86),-2)</f>
        <v>0</v>
      </c>
      <c r="P86" s="191" t="s">
        <v>37</v>
      </c>
      <c r="Q86" s="192"/>
      <c r="R86" s="181"/>
      <c r="S86" s="550"/>
      <c r="T86" s="550"/>
      <c r="U86" s="550"/>
      <c r="V86" s="64"/>
      <c r="W86" s="161" t="e">
        <f t="shared" ref="W86:W87" si="12">""&amp;TEXT(G86,"0,0")&amp;" чел. х "&amp;TEXT(I86,"0,0")&amp;" раз х "&amp;TEXT(ROUND((M86/I86/G86),2),"0,00")&amp;" руб. = "&amp;TEXT(ROUND((G86*I86*(ROUND((M86/I86/G86),2))),2),"0 000,00")&amp;" руб. = "&amp;TEXT(O86,"0 000,00")&amp;" руб."</f>
        <v>#DIV/0!</v>
      </c>
    </row>
    <row r="87" spans="1:23" ht="15" x14ac:dyDescent="0.25">
      <c r="A87" s="383"/>
      <c r="B87" s="554"/>
      <c r="C87" s="180"/>
      <c r="D87" s="556"/>
      <c r="E87" s="560"/>
      <c r="F87" s="187" t="s">
        <v>226</v>
      </c>
      <c r="G87" s="182">
        <v>1</v>
      </c>
      <c r="H87" s="183" t="str">
        <f>H85</f>
        <v>чел. х</v>
      </c>
      <c r="I87" s="182">
        <v>1</v>
      </c>
      <c r="J87" s="183" t="str">
        <f>J85</f>
        <v>раз х средняя цена с индексом потребительских цен</v>
      </c>
      <c r="K87" s="189">
        <f>ROUNDUP(K86*(1.041),2)</f>
        <v>2709.21</v>
      </c>
      <c r="L87" s="183" t="s">
        <v>41</v>
      </c>
      <c r="M87" s="182">
        <f t="shared" ref="M87" si="13">G87*I87*K87</f>
        <v>2709.21</v>
      </c>
      <c r="N87" s="183" t="s">
        <v>41</v>
      </c>
      <c r="O87" s="190">
        <f>ROUNDUP((M87),-2)</f>
        <v>2800</v>
      </c>
      <c r="P87" s="191" t="s">
        <v>37</v>
      </c>
      <c r="Q87" s="192"/>
      <c r="R87" s="181"/>
      <c r="S87" s="550"/>
      <c r="T87" s="550"/>
      <c r="U87" s="550"/>
      <c r="V87" s="64"/>
      <c r="W87" s="161" t="str">
        <f t="shared" si="12"/>
        <v>1,0 чел. х 1,0 раз х 2709,21 руб. = 2 709,21 руб. = 2 800,00 руб.</v>
      </c>
    </row>
    <row r="88" spans="1:23" ht="105" collapsed="1" x14ac:dyDescent="0.25">
      <c r="A88" s="383" t="s">
        <v>126</v>
      </c>
      <c r="B88" s="553" t="s">
        <v>107</v>
      </c>
      <c r="C88" s="180"/>
      <c r="D88" s="555">
        <v>226</v>
      </c>
      <c r="E88" s="555">
        <v>244</v>
      </c>
      <c r="F88" s="557" t="s">
        <v>268</v>
      </c>
      <c r="G88" s="557"/>
      <c r="H88" s="557"/>
      <c r="I88" s="557"/>
      <c r="J88" s="557"/>
      <c r="K88" s="557"/>
      <c r="L88" s="557"/>
      <c r="M88" s="557"/>
      <c r="N88" s="557"/>
      <c r="O88" s="557"/>
      <c r="P88" s="557"/>
      <c r="Q88" s="557"/>
      <c r="R88" s="557"/>
      <c r="S88" s="550">
        <f>O90</f>
        <v>24500</v>
      </c>
      <c r="T88" s="550">
        <f>O91</f>
        <v>25500</v>
      </c>
      <c r="U88" s="550">
        <f>O92</f>
        <v>26500</v>
      </c>
      <c r="V88" s="64"/>
      <c r="W88" s="161" t="s">
        <v>284</v>
      </c>
    </row>
    <row r="89" spans="1:23" ht="15" hidden="1" outlineLevel="1" x14ac:dyDescent="0.25">
      <c r="A89" s="383"/>
      <c r="B89" s="554"/>
      <c r="C89" s="180"/>
      <c r="D89" s="556"/>
      <c r="E89" s="560"/>
      <c r="F89" s="181"/>
      <c r="G89" s="182">
        <v>1</v>
      </c>
      <c r="H89" s="183" t="s">
        <v>66</v>
      </c>
      <c r="I89" s="182">
        <v>222</v>
      </c>
      <c r="J89" s="183" t="s">
        <v>73</v>
      </c>
      <c r="K89" s="182">
        <f>ROUNDUP((24420/222),2)</f>
        <v>110</v>
      </c>
      <c r="L89" s="183" t="s">
        <v>41</v>
      </c>
      <c r="M89" s="182">
        <f>G89*I89*K89</f>
        <v>24420</v>
      </c>
      <c r="N89" s="183" t="s">
        <v>37</v>
      </c>
      <c r="O89" s="184"/>
      <c r="P89" s="185"/>
      <c r="Q89" s="186"/>
      <c r="R89" s="181"/>
      <c r="S89" s="550"/>
      <c r="T89" s="550"/>
      <c r="U89" s="550"/>
      <c r="V89" s="64"/>
      <c r="W89" s="161"/>
    </row>
    <row r="90" spans="1:23" ht="15" x14ac:dyDescent="0.25">
      <c r="A90" s="383"/>
      <c r="B90" s="554"/>
      <c r="C90" s="180"/>
      <c r="D90" s="556"/>
      <c r="E90" s="560"/>
      <c r="F90" s="187" t="s">
        <v>151</v>
      </c>
      <c r="G90" s="182">
        <v>1</v>
      </c>
      <c r="H90" s="188" t="s">
        <v>66</v>
      </c>
      <c r="I90" s="182">
        <v>222</v>
      </c>
      <c r="J90" s="188" t="s">
        <v>283</v>
      </c>
      <c r="K90" s="189">
        <f>ROUNDUP(K89*(1.04-1.04+1),2)</f>
        <v>110</v>
      </c>
      <c r="L90" s="183" t="s">
        <v>41</v>
      </c>
      <c r="M90" s="182">
        <f>G90*I90*K90</f>
        <v>24420</v>
      </c>
      <c r="N90" s="183" t="s">
        <v>41</v>
      </c>
      <c r="O90" s="190">
        <f>ROUNDUP((M90),-2)</f>
        <v>24500</v>
      </c>
      <c r="P90" s="191" t="s">
        <v>37</v>
      </c>
      <c r="Q90" s="192"/>
      <c r="R90" s="181"/>
      <c r="S90" s="550"/>
      <c r="T90" s="550"/>
      <c r="U90" s="550"/>
      <c r="V90" s="64"/>
      <c r="W90" s="161" t="str">
        <f>""&amp;TEXT(G90,"0,0")&amp;" чел. х "&amp;TEXT(I90,"0,0")&amp;" раз х "&amp;TEXT(ROUND((M90/I90/G90),2),"0,00")&amp;" руб. = "&amp;TEXT(ROUND((G90*I90*(ROUND((M90/I90/G90),2))),2),"0 000,00")&amp;" руб. = "&amp;TEXT(O90,"0 000,00")&amp;" руб."</f>
        <v>1,0 чел. х 222,0 раз х 110,00 руб. = 24 420,00 руб. = 24 500,00 руб.</v>
      </c>
    </row>
    <row r="91" spans="1:23" ht="15" x14ac:dyDescent="0.25">
      <c r="A91" s="383"/>
      <c r="B91" s="554"/>
      <c r="C91" s="180"/>
      <c r="D91" s="556"/>
      <c r="E91" s="560"/>
      <c r="F91" s="187" t="s">
        <v>193</v>
      </c>
      <c r="G91" s="182">
        <v>1</v>
      </c>
      <c r="H91" s="183" t="str">
        <f>H90</f>
        <v>чел. х</v>
      </c>
      <c r="I91" s="182">
        <v>222</v>
      </c>
      <c r="J91" s="183" t="str">
        <f>J90</f>
        <v>раз х средняя цена с индексом потребительских цен</v>
      </c>
      <c r="K91" s="189">
        <f>ROUNDUP(K90*(1.041),2)</f>
        <v>114.51</v>
      </c>
      <c r="L91" s="183" t="s">
        <v>41</v>
      </c>
      <c r="M91" s="182">
        <f>G91*I91*K91</f>
        <v>25421.22</v>
      </c>
      <c r="N91" s="183" t="s">
        <v>41</v>
      </c>
      <c r="O91" s="190">
        <f>ROUNDUP((M91),-2)</f>
        <v>25500</v>
      </c>
      <c r="P91" s="191" t="s">
        <v>37</v>
      </c>
      <c r="Q91" s="192"/>
      <c r="R91" s="181"/>
      <c r="S91" s="550"/>
      <c r="T91" s="550"/>
      <c r="U91" s="550"/>
      <c r="V91" s="64"/>
      <c r="W91" s="161" t="str">
        <f t="shared" ref="W91:W92" si="14">""&amp;TEXT(G91,"0,0")&amp;" чел. х "&amp;TEXT(I91,"0,0")&amp;" раз х "&amp;TEXT(ROUND((M91/I91/G91),2),"0,00")&amp;" руб. = "&amp;TEXT(ROUND((G91*I91*(ROUND((M91/I91/G91),2))),2),"0 000,00")&amp;" руб. = "&amp;TEXT(O91,"0 000,00")&amp;" руб."</f>
        <v>1,0 чел. х 222,0 раз х 114,51 руб. = 25 421,22 руб. = 25 500,00 руб.</v>
      </c>
    </row>
    <row r="92" spans="1:23" ht="15" x14ac:dyDescent="0.25">
      <c r="A92" s="383"/>
      <c r="B92" s="554"/>
      <c r="C92" s="180"/>
      <c r="D92" s="556"/>
      <c r="E92" s="560"/>
      <c r="F92" s="187" t="s">
        <v>226</v>
      </c>
      <c r="G92" s="182">
        <v>1</v>
      </c>
      <c r="H92" s="183" t="str">
        <f>H90</f>
        <v>чел. х</v>
      </c>
      <c r="I92" s="182">
        <v>222</v>
      </c>
      <c r="J92" s="183" t="str">
        <f>J90</f>
        <v>раз х средняя цена с индексом потребительских цен</v>
      </c>
      <c r="K92" s="189">
        <f>ROUNDUP(K91*(1.041),2)</f>
        <v>119.21000000000001</v>
      </c>
      <c r="L92" s="183" t="s">
        <v>41</v>
      </c>
      <c r="M92" s="182">
        <f t="shared" ref="M92" si="15">G92*I92*K92</f>
        <v>26464.620000000003</v>
      </c>
      <c r="N92" s="183" t="s">
        <v>41</v>
      </c>
      <c r="O92" s="190">
        <f>ROUNDUP((M92),-2)</f>
        <v>26500</v>
      </c>
      <c r="P92" s="191" t="s">
        <v>37</v>
      </c>
      <c r="Q92" s="192"/>
      <c r="R92" s="181"/>
      <c r="S92" s="550"/>
      <c r="T92" s="550"/>
      <c r="U92" s="550"/>
      <c r="V92" s="64"/>
      <c r="W92" s="161" t="str">
        <f t="shared" si="14"/>
        <v>1,0 чел. х 222,0 раз х 119,21 руб. = 26 464,62 руб. = 26 500,00 руб.</v>
      </c>
    </row>
    <row r="93" spans="1:23" ht="90" collapsed="1" x14ac:dyDescent="0.25">
      <c r="A93" s="383" t="s">
        <v>31</v>
      </c>
      <c r="B93" s="553" t="s">
        <v>285</v>
      </c>
      <c r="C93" s="64"/>
      <c r="D93" s="555">
        <v>226</v>
      </c>
      <c r="E93" s="555">
        <v>244</v>
      </c>
      <c r="F93" s="557" t="s">
        <v>268</v>
      </c>
      <c r="G93" s="557"/>
      <c r="H93" s="557"/>
      <c r="I93" s="557"/>
      <c r="J93" s="557"/>
      <c r="K93" s="557"/>
      <c r="L93" s="557"/>
      <c r="M93" s="557"/>
      <c r="N93" s="557"/>
      <c r="O93" s="557"/>
      <c r="P93" s="557"/>
      <c r="Q93" s="557"/>
      <c r="R93" s="557"/>
      <c r="S93" s="550">
        <f>M95</f>
        <v>105200</v>
      </c>
      <c r="T93" s="550">
        <f>M96</f>
        <v>109500</v>
      </c>
      <c r="U93" s="550">
        <f>M97</f>
        <v>114100</v>
      </c>
      <c r="V93" s="64"/>
      <c r="W93" s="161" t="s">
        <v>286</v>
      </c>
    </row>
    <row r="94" spans="1:23" ht="15" hidden="1" outlineLevel="1" x14ac:dyDescent="0.25">
      <c r="A94" s="383"/>
      <c r="B94" s="554"/>
      <c r="C94" s="64"/>
      <c r="D94" s="556"/>
      <c r="E94" s="560"/>
      <c r="F94" s="181"/>
      <c r="G94" s="182">
        <v>8760</v>
      </c>
      <c r="H94" s="183" t="s">
        <v>287</v>
      </c>
      <c r="I94" s="182">
        <f>ROUNDUP((105120/8760),2)</f>
        <v>12</v>
      </c>
      <c r="J94" s="183" t="s">
        <v>41</v>
      </c>
      <c r="K94" s="182">
        <f>ROUND((G94*I94),2)</f>
        <v>105120</v>
      </c>
      <c r="L94" s="183" t="s">
        <v>37</v>
      </c>
      <c r="M94" s="183"/>
      <c r="N94" s="183"/>
      <c r="O94" s="183"/>
      <c r="P94" s="183"/>
      <c r="Q94" s="183"/>
      <c r="R94" s="188"/>
      <c r="S94" s="550"/>
      <c r="T94" s="550"/>
      <c r="U94" s="550"/>
      <c r="V94" s="64"/>
      <c r="W94" s="161"/>
    </row>
    <row r="95" spans="1:23" ht="15" x14ac:dyDescent="0.25">
      <c r="A95" s="383"/>
      <c r="B95" s="554"/>
      <c r="C95" s="64"/>
      <c r="D95" s="556"/>
      <c r="E95" s="560"/>
      <c r="F95" s="187" t="s">
        <v>151</v>
      </c>
      <c r="G95" s="182">
        <v>8760</v>
      </c>
      <c r="H95" s="188" t="s">
        <v>288</v>
      </c>
      <c r="I95" s="189">
        <f>ROUNDUP(I94*(1.04-1.04+1),2)</f>
        <v>12</v>
      </c>
      <c r="J95" s="183" t="s">
        <v>41</v>
      </c>
      <c r="K95" s="182">
        <f>G95*I95</f>
        <v>105120</v>
      </c>
      <c r="L95" s="183" t="s">
        <v>41</v>
      </c>
      <c r="M95" s="190">
        <f>ROUNDUP((K95),-2)</f>
        <v>105200</v>
      </c>
      <c r="N95" s="191" t="s">
        <v>37</v>
      </c>
      <c r="O95" s="190"/>
      <c r="P95" s="192"/>
      <c r="Q95" s="192"/>
      <c r="R95" s="192"/>
      <c r="S95" s="550"/>
      <c r="T95" s="550"/>
      <c r="U95" s="550"/>
      <c r="V95" s="64"/>
      <c r="W95" s="161" t="str">
        <f>""&amp;TEXT(G95,"0,0")&amp;" час. х "&amp;TEXT(ROUND((K95/G95),2),"0,00")&amp;" руб. = "&amp;TEXT(ROUND((G95*(ROUND((K95/G95),2))),2),"0 000,00")&amp;" руб. = "&amp;TEXT(M95,"0 000,00")&amp;" руб."</f>
        <v>8760,0 час. х 12,00 руб. = 105 120,00 руб. = 105 200,00 руб.</v>
      </c>
    </row>
    <row r="96" spans="1:23" ht="15" x14ac:dyDescent="0.25">
      <c r="A96" s="383"/>
      <c r="B96" s="554"/>
      <c r="C96" s="64"/>
      <c r="D96" s="556"/>
      <c r="E96" s="560"/>
      <c r="F96" s="187" t="s">
        <v>193</v>
      </c>
      <c r="G96" s="182">
        <v>8760</v>
      </c>
      <c r="H96" s="183" t="str">
        <f>H95</f>
        <v>час. х средняя цена с индексом потребительских цен</v>
      </c>
      <c r="I96" s="189">
        <f>ROUNDUP(I95*(1.041),2)</f>
        <v>12.5</v>
      </c>
      <c r="J96" s="183" t="s">
        <v>41</v>
      </c>
      <c r="K96" s="182">
        <f t="shared" ref="K96:K97" si="16">G96*I96</f>
        <v>109500</v>
      </c>
      <c r="L96" s="183" t="s">
        <v>41</v>
      </c>
      <c r="M96" s="190">
        <f>ROUNDUP((K96),-2)</f>
        <v>109500</v>
      </c>
      <c r="N96" s="191" t="s">
        <v>37</v>
      </c>
      <c r="O96" s="190"/>
      <c r="P96" s="192"/>
      <c r="Q96" s="192"/>
      <c r="R96" s="192"/>
      <c r="S96" s="550"/>
      <c r="T96" s="550"/>
      <c r="U96" s="550"/>
      <c r="V96" s="64"/>
      <c r="W96" s="161" t="str">
        <f>""&amp;TEXT(G96,"0,0")&amp;" час. х "&amp;TEXT(ROUND((K96/G96),2),"0,00")&amp;" руб. = "&amp;TEXT(ROUND((G96*(ROUND((K96/G96),2))),2),"0 000,00")&amp;" руб. = "&amp;TEXT(M96,"0 000,00")&amp;" руб."</f>
        <v>8760,0 час. х 12,50 руб. = 109 500,00 руб. = 109 500,00 руб.</v>
      </c>
    </row>
    <row r="97" spans="1:24" ht="15" x14ac:dyDescent="0.25">
      <c r="A97" s="383"/>
      <c r="B97" s="554"/>
      <c r="C97" s="64"/>
      <c r="D97" s="556"/>
      <c r="E97" s="560"/>
      <c r="F97" s="187" t="s">
        <v>226</v>
      </c>
      <c r="G97" s="182">
        <v>8760</v>
      </c>
      <c r="H97" s="183" t="str">
        <f>H95</f>
        <v>час. х средняя цена с индексом потребительских цен</v>
      </c>
      <c r="I97" s="189">
        <f>ROUNDUP(I96*(1.041),2)</f>
        <v>13.02</v>
      </c>
      <c r="J97" s="183" t="s">
        <v>41</v>
      </c>
      <c r="K97" s="182">
        <f t="shared" si="16"/>
        <v>114055.2</v>
      </c>
      <c r="L97" s="183" t="s">
        <v>41</v>
      </c>
      <c r="M97" s="190">
        <f>ROUNDUP((K97),-2)</f>
        <v>114100</v>
      </c>
      <c r="N97" s="191" t="s">
        <v>37</v>
      </c>
      <c r="O97" s="190"/>
      <c r="P97" s="192"/>
      <c r="Q97" s="192"/>
      <c r="R97" s="192"/>
      <c r="S97" s="550"/>
      <c r="T97" s="550"/>
      <c r="U97" s="550"/>
      <c r="V97" s="64"/>
      <c r="W97" s="161" t="str">
        <f>""&amp;TEXT(G97,"0,0")&amp;" час. х "&amp;TEXT(ROUND((K97/G97),2),"0,00")&amp;" руб. = "&amp;TEXT(ROUND((G97*(ROUND((K97/G97),2))),2),"0 000,00")&amp;" руб. = "&amp;TEXT(M97,"0 000,00")&amp;" руб."</f>
        <v>8760,0 час. х 13,02 руб. = 114 055,20 руб. = 114 100,00 руб.</v>
      </c>
    </row>
    <row r="98" spans="1:24" ht="90" collapsed="1" x14ac:dyDescent="0.25">
      <c r="A98" s="383" t="s">
        <v>131</v>
      </c>
      <c r="B98" s="553" t="s">
        <v>289</v>
      </c>
      <c r="C98" s="180"/>
      <c r="D98" s="555">
        <v>227</v>
      </c>
      <c r="E98" s="555">
        <v>244</v>
      </c>
      <c r="F98" s="557" t="s">
        <v>268</v>
      </c>
      <c r="G98" s="557"/>
      <c r="H98" s="557"/>
      <c r="I98" s="557"/>
      <c r="J98" s="557"/>
      <c r="K98" s="557"/>
      <c r="L98" s="557"/>
      <c r="M98" s="557"/>
      <c r="N98" s="557"/>
      <c r="O98" s="557"/>
      <c r="P98" s="557"/>
      <c r="Q98" s="557"/>
      <c r="R98" s="557"/>
      <c r="S98" s="550">
        <f>M100</f>
        <v>10000</v>
      </c>
      <c r="T98" s="550">
        <f>M101</f>
        <v>10400</v>
      </c>
      <c r="U98" s="550">
        <f>M102</f>
        <v>10800</v>
      </c>
      <c r="V98" s="64"/>
      <c r="W98" s="161" t="s">
        <v>290</v>
      </c>
    </row>
    <row r="99" spans="1:24" ht="15" hidden="1" outlineLevel="1" x14ac:dyDescent="0.25">
      <c r="A99" s="383"/>
      <c r="B99" s="554"/>
      <c r="C99" s="180"/>
      <c r="D99" s="556"/>
      <c r="E99" s="560"/>
      <c r="F99" s="181"/>
      <c r="G99" s="182">
        <v>1</v>
      </c>
      <c r="H99" s="183" t="s">
        <v>231</v>
      </c>
      <c r="I99" s="182">
        <f>ROUNDUP((9941.97/1),2)</f>
        <v>9941.9699999999993</v>
      </c>
      <c r="J99" s="183" t="s">
        <v>41</v>
      </c>
      <c r="K99" s="182">
        <f>ROUND((G99*I99),2)</f>
        <v>9941.9699999999993</v>
      </c>
      <c r="L99" s="183" t="s">
        <v>37</v>
      </c>
      <c r="M99" s="183"/>
      <c r="N99" s="183"/>
      <c r="O99" s="183"/>
      <c r="P99" s="183"/>
      <c r="Q99" s="183"/>
      <c r="R99" s="188"/>
      <c r="S99" s="550"/>
      <c r="T99" s="550"/>
      <c r="U99" s="550"/>
      <c r="V99" s="64"/>
      <c r="W99" s="161"/>
    </row>
    <row r="100" spans="1:24" ht="15" x14ac:dyDescent="0.25">
      <c r="A100" s="383"/>
      <c r="B100" s="554"/>
      <c r="C100" s="180"/>
      <c r="D100" s="556"/>
      <c r="E100" s="560"/>
      <c r="F100" s="187" t="s">
        <v>151</v>
      </c>
      <c r="G100" s="182">
        <v>1</v>
      </c>
      <c r="H100" s="188" t="s">
        <v>271</v>
      </c>
      <c r="I100" s="189">
        <f>ROUNDUP(I99*(1.04-1.04+1),2)</f>
        <v>9941.9699999999993</v>
      </c>
      <c r="J100" s="183" t="s">
        <v>41</v>
      </c>
      <c r="K100" s="182">
        <f>G100*I100</f>
        <v>9941.9699999999993</v>
      </c>
      <c r="L100" s="183" t="s">
        <v>41</v>
      </c>
      <c r="M100" s="190">
        <f>ROUNDUP((K100),-2)</f>
        <v>10000</v>
      </c>
      <c r="N100" s="191" t="s">
        <v>37</v>
      </c>
      <c r="O100" s="190"/>
      <c r="P100" s="192"/>
      <c r="Q100" s="192"/>
      <c r="R100" s="192"/>
      <c r="S100" s="550"/>
      <c r="T100" s="550"/>
      <c r="U100" s="550"/>
      <c r="V100" s="64"/>
      <c r="W100" s="161" t="str">
        <f>""&amp;TEXT(G100,"0,0")&amp;" ед. х "&amp;TEXT(ROUND((K100/G100),2),"0,00")&amp;" руб. = "&amp;TEXT(ROUND((G100*(ROUND((K100/G100),2))),2),"0 000,00")&amp;" руб. = "&amp;TEXT(M100,"0 000,00")&amp;" руб."</f>
        <v>1,0 ед. х 9941,97 руб. = 9 941,97 руб. = 10 000,00 руб.</v>
      </c>
    </row>
    <row r="101" spans="1:24" ht="15" x14ac:dyDescent="0.25">
      <c r="A101" s="383"/>
      <c r="B101" s="554"/>
      <c r="C101" s="180"/>
      <c r="D101" s="556"/>
      <c r="E101" s="560"/>
      <c r="F101" s="187" t="s">
        <v>193</v>
      </c>
      <c r="G101" s="182">
        <v>1</v>
      </c>
      <c r="H101" s="183" t="str">
        <f>H100</f>
        <v>ед. х средняя цена с индексом потребительских цен</v>
      </c>
      <c r="I101" s="189">
        <f>ROUNDUP(I100*(1.041),2)</f>
        <v>10349.6</v>
      </c>
      <c r="J101" s="183" t="s">
        <v>41</v>
      </c>
      <c r="K101" s="182">
        <f t="shared" ref="K101:K102" si="17">G101*I101</f>
        <v>10349.6</v>
      </c>
      <c r="L101" s="183" t="s">
        <v>41</v>
      </c>
      <c r="M101" s="190">
        <f>ROUNDUP((K101),-2)</f>
        <v>10400</v>
      </c>
      <c r="N101" s="191" t="s">
        <v>37</v>
      </c>
      <c r="O101" s="190"/>
      <c r="P101" s="192"/>
      <c r="Q101" s="192"/>
      <c r="R101" s="192"/>
      <c r="S101" s="550"/>
      <c r="T101" s="550"/>
      <c r="U101" s="550"/>
      <c r="V101" s="64"/>
      <c r="W101" s="161" t="str">
        <f t="shared" ref="W101:W102" si="18">""&amp;TEXT(G101,"0,0")&amp;" ед. х "&amp;TEXT(ROUND((K101/G101),2),"0,00")&amp;" руб. = "&amp;TEXT(ROUND((G101*(ROUND((K101/G101),2))),2),"0 000,00")&amp;" руб. = "&amp;TEXT(M101,"0 000,00")&amp;" руб."</f>
        <v>1,0 ед. х 10349,60 руб. = 10 349,60 руб. = 10 400,00 руб.</v>
      </c>
    </row>
    <row r="102" spans="1:24" s="95" customFormat="1" ht="15" x14ac:dyDescent="0.25">
      <c r="A102" s="383"/>
      <c r="B102" s="554"/>
      <c r="C102" s="180"/>
      <c r="D102" s="556"/>
      <c r="E102" s="560"/>
      <c r="F102" s="187" t="s">
        <v>226</v>
      </c>
      <c r="G102" s="182">
        <v>1</v>
      </c>
      <c r="H102" s="183" t="str">
        <f>H100</f>
        <v>ед. х средняя цена с индексом потребительских цен</v>
      </c>
      <c r="I102" s="189">
        <f>ROUNDUP(I101*(1.041),2)</f>
        <v>10773.94</v>
      </c>
      <c r="J102" s="183" t="s">
        <v>41</v>
      </c>
      <c r="K102" s="182">
        <f t="shared" si="17"/>
        <v>10773.94</v>
      </c>
      <c r="L102" s="183" t="s">
        <v>41</v>
      </c>
      <c r="M102" s="190">
        <f>ROUNDUP((K102),-2)</f>
        <v>10800</v>
      </c>
      <c r="N102" s="191" t="s">
        <v>37</v>
      </c>
      <c r="O102" s="190"/>
      <c r="P102" s="192"/>
      <c r="Q102" s="192"/>
      <c r="R102" s="192"/>
      <c r="S102" s="550"/>
      <c r="T102" s="550"/>
      <c r="U102" s="550"/>
      <c r="V102" s="64"/>
      <c r="W102" s="161" t="str">
        <f t="shared" si="18"/>
        <v>1,0 ед. х 10773,94 руб. = 10 773,94 руб. = 10 800,00 руб.</v>
      </c>
      <c r="X102" s="94"/>
    </row>
    <row r="103" spans="1:24" s="95" customFormat="1" ht="95.25" customHeight="1" x14ac:dyDescent="0.25">
      <c r="A103" s="221" t="s">
        <v>14</v>
      </c>
      <c r="B103" s="222" t="s">
        <v>101</v>
      </c>
      <c r="C103" s="158"/>
      <c r="D103" s="159" t="s">
        <v>35</v>
      </c>
      <c r="E103" s="159" t="s">
        <v>35</v>
      </c>
      <c r="F103" s="538"/>
      <c r="G103" s="539"/>
      <c r="H103" s="539"/>
      <c r="I103" s="539"/>
      <c r="J103" s="539"/>
      <c r="K103" s="539"/>
      <c r="L103" s="539"/>
      <c r="M103" s="539"/>
      <c r="N103" s="539"/>
      <c r="O103" s="539"/>
      <c r="P103" s="539"/>
      <c r="Q103" s="539"/>
      <c r="R103" s="539"/>
      <c r="S103" s="223">
        <f>SUM(S104,S108,S113,S118)</f>
        <v>2689500</v>
      </c>
      <c r="T103" s="223">
        <f>SUM(T104,T108,T113,T118)</f>
        <v>2857200</v>
      </c>
      <c r="U103" s="223">
        <f>SUM(U104,U108,U113,U118)</f>
        <v>2914900</v>
      </c>
      <c r="V103" s="52"/>
      <c r="W103" s="224" t="str">
        <f>"Нормативные "&amp;TEXT(B103,"0")&amp;" включают в себя:
нормативные "&amp;TEXT(B104,"0")&amp;";   нормативные "&amp;TEXT(B108,"0")&amp;";
нормативные "&amp;TEXT(B113,"0")&amp;";   нормативные "&amp;TEXT(B118,"0")&amp;""</f>
        <v>Нормативные затраты на приобретение основных средств включают в себя:
нормативные затраты на приобретение комплекта мебели;   нормативные затраты на приобретение систем кондиционирования;
нормативные затраты на приобретение огнетушителей;   нормативные затраты на приобретение прочих основных средств</v>
      </c>
    </row>
    <row r="104" spans="1:24" s="95" customFormat="1" ht="123.75" customHeight="1" x14ac:dyDescent="0.25">
      <c r="A104" s="388" t="s">
        <v>15</v>
      </c>
      <c r="B104" s="568" t="s">
        <v>291</v>
      </c>
      <c r="C104" s="170"/>
      <c r="D104" s="571">
        <v>310</v>
      </c>
      <c r="E104" s="571">
        <v>244</v>
      </c>
      <c r="F104" s="574" t="s">
        <v>53</v>
      </c>
      <c r="G104" s="575"/>
      <c r="H104" s="575"/>
      <c r="I104" s="575"/>
      <c r="J104" s="575"/>
      <c r="K104" s="575"/>
      <c r="L104" s="575"/>
      <c r="M104" s="575"/>
      <c r="N104" s="575"/>
      <c r="O104" s="575"/>
      <c r="P104" s="575"/>
      <c r="Q104" s="575"/>
      <c r="R104" s="576"/>
      <c r="S104" s="577">
        <f>Q105</f>
        <v>1118300</v>
      </c>
      <c r="T104" s="577">
        <f>Q106</f>
        <v>1164400</v>
      </c>
      <c r="U104" s="577">
        <f>Q107</f>
        <v>1212100</v>
      </c>
      <c r="V104" s="170"/>
      <c r="W104" s="163" t="s">
        <v>54</v>
      </c>
    </row>
    <row r="105" spans="1:24" s="95" customFormat="1" ht="15" x14ac:dyDescent="0.25">
      <c r="A105" s="389"/>
      <c r="B105" s="569"/>
      <c r="C105" s="170"/>
      <c r="D105" s="572"/>
      <c r="E105" s="572"/>
      <c r="F105" s="164" t="s">
        <v>159</v>
      </c>
      <c r="G105" s="165">
        <v>42004</v>
      </c>
      <c r="H105" s="166" t="s">
        <v>42</v>
      </c>
      <c r="I105" s="165">
        <v>213</v>
      </c>
      <c r="J105" s="166" t="s">
        <v>45</v>
      </c>
      <c r="K105" s="165">
        <v>8</v>
      </c>
      <c r="L105" s="166" t="s">
        <v>43</v>
      </c>
      <c r="M105" s="165">
        <v>0</v>
      </c>
      <c r="N105" s="166" t="s">
        <v>44</v>
      </c>
      <c r="O105" s="165">
        <f>ROUND((G105*(I105/K105+M105)),2)</f>
        <v>1118356.5</v>
      </c>
      <c r="P105" s="166" t="s">
        <v>41</v>
      </c>
      <c r="Q105" s="167">
        <f>ROUNDDOWN((O105),-2)</f>
        <v>1118300</v>
      </c>
      <c r="R105" s="168" t="s">
        <v>37</v>
      </c>
      <c r="S105" s="578"/>
      <c r="T105" s="578"/>
      <c r="U105" s="578"/>
      <c r="V105" s="170"/>
      <c r="W105" s="163" t="str">
        <f>"норматив "&amp;TEXT(G105,"0 000,00")&amp;" руб. х ("&amp;TEXT(I105,"0,00")&amp;" шт.ед. : срок "&amp;TEXT(K105,"0")&amp;" лет + "&amp;TEXT(M105,"0,00")&amp;" шт.ед.) = "&amp;TEXT(O105,"0 000,00")&amp;" руб. = "&amp;TEXT(Q105,"0 000,00")&amp;" руб."</f>
        <v>норматив 42 004,00 руб. х (213,00 шт.ед. : срок 8 лет + 0,00 шт.ед.) = 1 118 356,50 руб. = 1 118 300,00 руб.</v>
      </c>
      <c r="X105" s="94"/>
    </row>
    <row r="106" spans="1:24" s="95" customFormat="1" ht="15" x14ac:dyDescent="0.25">
      <c r="A106" s="389"/>
      <c r="B106" s="569"/>
      <c r="C106" s="170"/>
      <c r="D106" s="572"/>
      <c r="E106" s="572"/>
      <c r="F106" s="164" t="s">
        <v>194</v>
      </c>
      <c r="G106" s="165">
        <v>43735</v>
      </c>
      <c r="H106" s="166" t="s">
        <v>42</v>
      </c>
      <c r="I106" s="165">
        <v>213</v>
      </c>
      <c r="J106" s="166" t="s">
        <v>45</v>
      </c>
      <c r="K106" s="165">
        <v>8</v>
      </c>
      <c r="L106" s="166" t="s">
        <v>43</v>
      </c>
      <c r="M106" s="165">
        <v>0</v>
      </c>
      <c r="N106" s="166" t="s">
        <v>44</v>
      </c>
      <c r="O106" s="165">
        <f>ROUND((G106*(I106/K106+M106)),2)</f>
        <v>1164444.3799999999</v>
      </c>
      <c r="P106" s="166" t="s">
        <v>41</v>
      </c>
      <c r="Q106" s="167">
        <f>ROUNDDOWN((O106),-2)</f>
        <v>1164400</v>
      </c>
      <c r="R106" s="168" t="s">
        <v>37</v>
      </c>
      <c r="S106" s="578"/>
      <c r="T106" s="578"/>
      <c r="U106" s="578"/>
      <c r="V106" s="170"/>
      <c r="W106" s="163" t="str">
        <f>"норматив "&amp;TEXT(G106,"0 000,00")&amp;" руб. х ("&amp;TEXT(I106,"0,00")&amp;" шт.ед. : срок "&amp;TEXT(K106,"0")&amp;" лет + "&amp;TEXT(M106,"0,00")&amp;" шт.ед.) = "&amp;TEXT(O106,"0 000,00")&amp;" руб. = "&amp;TEXT(Q106,"0 000,00")&amp;" руб."</f>
        <v>норматив 43 735,00 руб. х (213,00 шт.ед. : срок 8 лет + 0,00 шт.ед.) = 1 164 444,38 руб. = 1 164 400,00 руб.</v>
      </c>
      <c r="X106" s="94"/>
    </row>
    <row r="107" spans="1:24" s="95" customFormat="1" ht="15" x14ac:dyDescent="0.25">
      <c r="A107" s="390"/>
      <c r="B107" s="570"/>
      <c r="C107" s="170"/>
      <c r="D107" s="573"/>
      <c r="E107" s="573"/>
      <c r="F107" s="164" t="s">
        <v>292</v>
      </c>
      <c r="G107" s="165">
        <v>45528</v>
      </c>
      <c r="H107" s="166" t="s">
        <v>42</v>
      </c>
      <c r="I107" s="165">
        <v>213</v>
      </c>
      <c r="J107" s="166" t="s">
        <v>45</v>
      </c>
      <c r="K107" s="165">
        <v>8</v>
      </c>
      <c r="L107" s="166" t="s">
        <v>43</v>
      </c>
      <c r="M107" s="165">
        <v>0</v>
      </c>
      <c r="N107" s="166" t="s">
        <v>44</v>
      </c>
      <c r="O107" s="165">
        <f>ROUND((G107*(I107/K107+M107)),2)</f>
        <v>1212183</v>
      </c>
      <c r="P107" s="166" t="s">
        <v>41</v>
      </c>
      <c r="Q107" s="167">
        <f>ROUNDDOWN((O107),-2)</f>
        <v>1212100</v>
      </c>
      <c r="R107" s="168" t="s">
        <v>37</v>
      </c>
      <c r="S107" s="579"/>
      <c r="T107" s="579"/>
      <c r="U107" s="579"/>
      <c r="V107" s="170"/>
      <c r="W107" s="163" t="str">
        <f>"норматив "&amp;TEXT(G107,"0 000,00")&amp;" руб. х ("&amp;TEXT(I107,"0,00")&amp;" шт.ед. : срок "&amp;TEXT(K107,"0")&amp;" лет + "&amp;TEXT(M107,"0,00")&amp;" шт.ед.) = "&amp;TEXT(O107,"0 000,00")&amp;" руб. = "&amp;TEXT(Q107,"0 000,00")&amp;" руб."</f>
        <v>норматив 45 528,00 руб. х (213,00 шт.ед. : срок 8 лет + 0,00 шт.ед.) = 1 212 183,00 руб. = 1 212 100,00 руб.</v>
      </c>
    </row>
    <row r="108" spans="1:24" ht="90" x14ac:dyDescent="0.25">
      <c r="A108" s="388" t="s">
        <v>181</v>
      </c>
      <c r="B108" s="580" t="s">
        <v>147</v>
      </c>
      <c r="C108" s="180"/>
      <c r="D108" s="555">
        <v>310</v>
      </c>
      <c r="E108" s="555">
        <v>244</v>
      </c>
      <c r="F108" s="557" t="s">
        <v>237</v>
      </c>
      <c r="G108" s="557"/>
      <c r="H108" s="557"/>
      <c r="I108" s="557"/>
      <c r="J108" s="557"/>
      <c r="K108" s="557"/>
      <c r="L108" s="557"/>
      <c r="M108" s="557"/>
      <c r="N108" s="557"/>
      <c r="O108" s="557"/>
      <c r="P108" s="557"/>
      <c r="Q108" s="557"/>
      <c r="R108" s="557"/>
      <c r="S108" s="550">
        <f>M110</f>
        <v>1472800</v>
      </c>
      <c r="T108" s="550">
        <f>M111</f>
        <v>1533200</v>
      </c>
      <c r="U108" s="550">
        <f>M112</f>
        <v>1596100</v>
      </c>
      <c r="V108" s="64"/>
      <c r="W108" s="161" t="s">
        <v>293</v>
      </c>
    </row>
    <row r="109" spans="1:24" ht="20.25" customHeight="1" outlineLevel="1" x14ac:dyDescent="0.25">
      <c r="A109" s="389"/>
      <c r="B109" s="581"/>
      <c r="C109" s="180"/>
      <c r="D109" s="555"/>
      <c r="E109" s="555"/>
      <c r="F109" s="181"/>
      <c r="G109" s="182">
        <v>30</v>
      </c>
      <c r="H109" s="183" t="s">
        <v>78</v>
      </c>
      <c r="I109" s="182">
        <f>ROUNDUP((47204.04),2)</f>
        <v>47204.04</v>
      </c>
      <c r="J109" s="183" t="s">
        <v>41</v>
      </c>
      <c r="K109" s="182">
        <f>ROUND((G109*I109),2)</f>
        <v>1416121.2</v>
      </c>
      <c r="L109" s="183" t="s">
        <v>37</v>
      </c>
      <c r="M109" s="183"/>
      <c r="N109" s="183"/>
      <c r="O109" s="183"/>
      <c r="P109" s="183"/>
      <c r="Q109" s="183"/>
      <c r="R109" s="188"/>
      <c r="S109" s="550"/>
      <c r="T109" s="550"/>
      <c r="U109" s="550"/>
      <c r="V109" s="64"/>
      <c r="W109" s="184"/>
    </row>
    <row r="110" spans="1:24" ht="15" x14ac:dyDescent="0.25">
      <c r="A110" s="389"/>
      <c r="B110" s="582"/>
      <c r="C110" s="180"/>
      <c r="D110" s="584"/>
      <c r="E110" s="584"/>
      <c r="F110" s="187" t="s">
        <v>151</v>
      </c>
      <c r="G110" s="182">
        <v>30</v>
      </c>
      <c r="H110" s="188" t="s">
        <v>294</v>
      </c>
      <c r="I110" s="189">
        <f>ROUNDUP(I109*(1.04),2)</f>
        <v>49092.21</v>
      </c>
      <c r="J110" s="183" t="s">
        <v>41</v>
      </c>
      <c r="K110" s="182">
        <f>ROUND((G110*I110),2)</f>
        <v>1472766.3</v>
      </c>
      <c r="L110" s="183" t="s">
        <v>41</v>
      </c>
      <c r="M110" s="190">
        <f>ROUNDUP((K110),-2)</f>
        <v>1472800</v>
      </c>
      <c r="N110" s="191" t="s">
        <v>37</v>
      </c>
      <c r="O110" s="190"/>
      <c r="P110" s="192"/>
      <c r="Q110" s="192"/>
      <c r="R110" s="192"/>
      <c r="S110" s="550"/>
      <c r="T110" s="550"/>
      <c r="U110" s="550"/>
      <c r="V110" s="64"/>
      <c r="W110" s="161" t="str">
        <f>""&amp;TEXT(G110,"0,0")&amp;" шт. х "&amp;TEXT(ROUND((K110/G110),2),"0,00")&amp;" руб. = "&amp;TEXT(ROUND((G110*(ROUND((K110/G110),2))),2),"0 000,00")&amp;" руб. = "&amp;TEXT(M110,"0 000,00")&amp;" руб."</f>
        <v>30,0 шт. х 49092,21 руб. = 1 472 766,30 руб. = 1 472 800,00 руб.</v>
      </c>
    </row>
    <row r="111" spans="1:24" ht="15" outlineLevel="1" x14ac:dyDescent="0.25">
      <c r="A111" s="389"/>
      <c r="B111" s="582"/>
      <c r="C111" s="180"/>
      <c r="D111" s="584"/>
      <c r="E111" s="584"/>
      <c r="F111" s="187" t="s">
        <v>193</v>
      </c>
      <c r="G111" s="182">
        <v>30</v>
      </c>
      <c r="H111" s="183" t="str">
        <f>H110</f>
        <v>шт. х средняя цена с индексом потребительских цен</v>
      </c>
      <c r="I111" s="189">
        <f>ROUNDUP(I110*(1.041),2)</f>
        <v>51105</v>
      </c>
      <c r="J111" s="183" t="s">
        <v>41</v>
      </c>
      <c r="K111" s="182">
        <f t="shared" ref="K111:K112" si="19">ROUND((G111*I111),2)</f>
        <v>1533150</v>
      </c>
      <c r="L111" s="183" t="s">
        <v>41</v>
      </c>
      <c r="M111" s="190">
        <f t="shared" ref="M111:M112" si="20">ROUNDUP((K111),-2)</f>
        <v>1533200</v>
      </c>
      <c r="N111" s="191" t="s">
        <v>37</v>
      </c>
      <c r="O111" s="190"/>
      <c r="P111" s="192"/>
      <c r="Q111" s="192"/>
      <c r="R111" s="192"/>
      <c r="S111" s="550"/>
      <c r="T111" s="550"/>
      <c r="U111" s="550"/>
      <c r="V111" s="64"/>
      <c r="W111" s="161" t="str">
        <f>""&amp;TEXT(G111,"0,0")&amp;" шт. х "&amp;TEXT(ROUND((K111/G111),2),"0,00")&amp;" руб. = "&amp;TEXT(ROUND((G111*(ROUND((K111/G111),2))),2),"0 000,00")&amp;" руб. = "&amp;TEXT(M111,"0 000,00")&amp;" руб."</f>
        <v>30,0 шт. х 51105,00 руб. = 1 533 150,00 руб. = 1 533 200,00 руб.</v>
      </c>
    </row>
    <row r="112" spans="1:24" ht="15" outlineLevel="1" x14ac:dyDescent="0.25">
      <c r="A112" s="390"/>
      <c r="B112" s="583"/>
      <c r="C112" s="180"/>
      <c r="D112" s="584"/>
      <c r="E112" s="584"/>
      <c r="F112" s="187" t="s">
        <v>226</v>
      </c>
      <c r="G112" s="182">
        <v>30</v>
      </c>
      <c r="H112" s="183" t="str">
        <f>H110</f>
        <v>шт. х средняя цена с индексом потребительских цен</v>
      </c>
      <c r="I112" s="189">
        <f>ROUNDUP(I111*(1.041),2)</f>
        <v>53200.310000000005</v>
      </c>
      <c r="J112" s="183" t="s">
        <v>41</v>
      </c>
      <c r="K112" s="182">
        <f t="shared" si="19"/>
        <v>1596009.3</v>
      </c>
      <c r="L112" s="183" t="s">
        <v>41</v>
      </c>
      <c r="M112" s="190">
        <f t="shared" si="20"/>
        <v>1596100</v>
      </c>
      <c r="N112" s="191" t="s">
        <v>37</v>
      </c>
      <c r="O112" s="190"/>
      <c r="P112" s="192"/>
      <c r="Q112" s="192"/>
      <c r="R112" s="192"/>
      <c r="S112" s="550"/>
      <c r="T112" s="550"/>
      <c r="U112" s="550"/>
      <c r="V112" s="64"/>
      <c r="W112" s="161" t="str">
        <f>""&amp;TEXT(G112,"0,0")&amp;" шт. х "&amp;TEXT(ROUND((K112/G112),2),"0,00")&amp;" руб. = "&amp;TEXT(ROUND((G112*(ROUND((K112/G112),2))),2),"0 000,00")&amp;" руб. = "&amp;TEXT(M112,"0 000,00")&amp;" руб."</f>
        <v>30,0 шт. х 53200,31 руб. = 1 596 009,30 руб. = 1 596 100,00 руб.</v>
      </c>
    </row>
    <row r="113" spans="1:23" ht="90" collapsed="1" x14ac:dyDescent="0.25">
      <c r="A113" s="388" t="s">
        <v>173</v>
      </c>
      <c r="B113" s="580" t="s">
        <v>295</v>
      </c>
      <c r="C113" s="180"/>
      <c r="D113" s="555">
        <v>310</v>
      </c>
      <c r="E113" s="555">
        <v>244</v>
      </c>
      <c r="F113" s="557" t="s">
        <v>296</v>
      </c>
      <c r="G113" s="557"/>
      <c r="H113" s="557"/>
      <c r="I113" s="557"/>
      <c r="J113" s="557"/>
      <c r="K113" s="557"/>
      <c r="L113" s="557"/>
      <c r="M113" s="557"/>
      <c r="N113" s="557"/>
      <c r="O113" s="557"/>
      <c r="P113" s="557"/>
      <c r="Q113" s="557"/>
      <c r="R113" s="557"/>
      <c r="S113" s="550">
        <f>M115</f>
        <v>0</v>
      </c>
      <c r="T113" s="550">
        <f>M116</f>
        <v>57100</v>
      </c>
      <c r="U113" s="550">
        <f>M117</f>
        <v>0</v>
      </c>
      <c r="V113" s="64"/>
      <c r="W113" s="161" t="s">
        <v>297</v>
      </c>
    </row>
    <row r="114" spans="1:23" ht="15" hidden="1" outlineLevel="1" x14ac:dyDescent="0.25">
      <c r="A114" s="389"/>
      <c r="B114" s="581"/>
      <c r="C114" s="64"/>
      <c r="D114" s="555"/>
      <c r="E114" s="555"/>
      <c r="F114" s="181"/>
      <c r="G114" s="182">
        <v>61</v>
      </c>
      <c r="H114" s="183" t="s">
        <v>78</v>
      </c>
      <c r="I114" s="182">
        <f>ROUNDUP((57046.87/61),2)</f>
        <v>935.2</v>
      </c>
      <c r="J114" s="183" t="s">
        <v>41</v>
      </c>
      <c r="K114" s="182">
        <f>ROUND((G114*I114),2)</f>
        <v>57047.199999999997</v>
      </c>
      <c r="L114" s="183" t="s">
        <v>37</v>
      </c>
      <c r="M114" s="183"/>
      <c r="N114" s="183"/>
      <c r="O114" s="183"/>
      <c r="P114" s="183"/>
      <c r="Q114" s="183"/>
      <c r="R114" s="188"/>
      <c r="S114" s="550"/>
      <c r="T114" s="550"/>
      <c r="U114" s="550"/>
      <c r="V114" s="64"/>
      <c r="W114" s="184"/>
    </row>
    <row r="115" spans="1:23" ht="18" hidden="1" customHeight="1" outlineLevel="1" x14ac:dyDescent="0.25">
      <c r="A115" s="389"/>
      <c r="B115" s="582"/>
      <c r="C115" s="180"/>
      <c r="D115" s="584"/>
      <c r="E115" s="584"/>
      <c r="F115" s="187" t="s">
        <v>151</v>
      </c>
      <c r="G115" s="182">
        <v>9.9999999999999996E-83</v>
      </c>
      <c r="H115" s="188" t="s">
        <v>294</v>
      </c>
      <c r="I115" s="189">
        <f>ROUNDUP(I114*(1.04-1.04+1),2)</f>
        <v>935.2</v>
      </c>
      <c r="J115" s="183" t="s">
        <v>41</v>
      </c>
      <c r="K115" s="182">
        <f>ROUND((G115*I115),2)</f>
        <v>0</v>
      </c>
      <c r="L115" s="183" t="s">
        <v>41</v>
      </c>
      <c r="M115" s="190">
        <f>ROUNDUP((K115),-2)</f>
        <v>0</v>
      </c>
      <c r="N115" s="191" t="s">
        <v>37</v>
      </c>
      <c r="O115" s="190"/>
      <c r="P115" s="192"/>
      <c r="Q115" s="192"/>
      <c r="R115" s="192"/>
      <c r="S115" s="550"/>
      <c r="T115" s="550"/>
      <c r="U115" s="550"/>
      <c r="V115" s="64"/>
      <c r="W115" s="161" t="str">
        <f>""&amp;TEXT(G115,"0,0")&amp;" шт. х "&amp;TEXT(ROUND((K115/G115),2),"0,00")&amp;" руб. = "&amp;TEXT(ROUND((G115*(ROUND((K115/G115),2))),2),"0 000,00")&amp;" руб. = "&amp;TEXT(M115,"0 000,00")&amp;" руб."</f>
        <v>0,0 шт. х 0,00 руб. = 0 000,00 руб. = 0 000,00 руб.</v>
      </c>
    </row>
    <row r="116" spans="1:23" ht="21.75" customHeight="1" collapsed="1" x14ac:dyDescent="0.25">
      <c r="A116" s="389"/>
      <c r="B116" s="582"/>
      <c r="C116" s="180"/>
      <c r="D116" s="584"/>
      <c r="E116" s="584"/>
      <c r="F116" s="187" t="s">
        <v>193</v>
      </c>
      <c r="G116" s="182">
        <v>61</v>
      </c>
      <c r="H116" s="183" t="str">
        <f>H115</f>
        <v>шт. х средняя цена с индексом потребительских цен</v>
      </c>
      <c r="I116" s="189">
        <f>ROUNDUP(I115*(1.041-1.041+1),2)</f>
        <v>935.2</v>
      </c>
      <c r="J116" s="183" t="s">
        <v>41</v>
      </c>
      <c r="K116" s="182">
        <f t="shared" ref="K116:K117" si="21">ROUND((G116*I116),2)</f>
        <v>57047.199999999997</v>
      </c>
      <c r="L116" s="183" t="s">
        <v>41</v>
      </c>
      <c r="M116" s="190">
        <f t="shared" ref="M116:M117" si="22">ROUNDUP((K116),-2)</f>
        <v>57100</v>
      </c>
      <c r="N116" s="191" t="s">
        <v>37</v>
      </c>
      <c r="O116" s="190"/>
      <c r="P116" s="192"/>
      <c r="Q116" s="192"/>
      <c r="R116" s="192"/>
      <c r="S116" s="550"/>
      <c r="T116" s="550"/>
      <c r="U116" s="550"/>
      <c r="V116" s="64"/>
      <c r="W116" s="161" t="str">
        <f>""&amp;TEXT(G116,"0,0")&amp;" шт. х "&amp;TEXT(ROUND((K116/G116),2),"0,00")&amp;" руб. = "&amp;TEXT(ROUND((G116*(ROUND((K116/G116),2))),2),"0 000,00")&amp;" руб. = "&amp;TEXT(M116,"0 000,00")&amp;" руб."</f>
        <v>61,0 шт. х 935,20 руб. = 57 047,20 руб. = 57 100,00 руб.</v>
      </c>
    </row>
    <row r="117" spans="1:23" ht="2.25" hidden="1" customHeight="1" outlineLevel="1" x14ac:dyDescent="0.25">
      <c r="A117" s="390"/>
      <c r="B117" s="583"/>
      <c r="C117" s="180"/>
      <c r="D117" s="584"/>
      <c r="E117" s="584"/>
      <c r="F117" s="187" t="s">
        <v>226</v>
      </c>
      <c r="G117" s="182">
        <v>9.9999999999999996E-83</v>
      </c>
      <c r="H117" s="183" t="str">
        <f>H115</f>
        <v>шт. х средняя цена с индексом потребительских цен</v>
      </c>
      <c r="I117" s="189">
        <f>ROUNDUP(I116*(1.041),2)</f>
        <v>973.55</v>
      </c>
      <c r="J117" s="183" t="s">
        <v>41</v>
      </c>
      <c r="K117" s="182">
        <f t="shared" si="21"/>
        <v>0</v>
      </c>
      <c r="L117" s="183" t="s">
        <v>41</v>
      </c>
      <c r="M117" s="190">
        <f t="shared" si="22"/>
        <v>0</v>
      </c>
      <c r="N117" s="191" t="s">
        <v>37</v>
      </c>
      <c r="O117" s="190"/>
      <c r="P117" s="192"/>
      <c r="Q117" s="192"/>
      <c r="R117" s="192"/>
      <c r="S117" s="550"/>
      <c r="T117" s="550"/>
      <c r="U117" s="550"/>
      <c r="V117" s="64"/>
      <c r="W117" s="161" t="str">
        <f>""&amp;TEXT(G117,"0,0")&amp;" шт. х "&amp;TEXT(ROUND((K117/G117),2),"0,00")&amp;" руб. = "&amp;TEXT(ROUND((G117*(ROUND((K117/G117),2))),2),"0 000,00")&amp;" руб. = "&amp;TEXT(M117,"0 000,00")&amp;" руб."</f>
        <v>0,0 шт. х 0,00 руб. = 0 000,00 руб. = 0 000,00 руб.</v>
      </c>
    </row>
    <row r="118" spans="1:23" ht="90" x14ac:dyDescent="0.25">
      <c r="A118" s="388" t="s">
        <v>298</v>
      </c>
      <c r="B118" s="580" t="s">
        <v>299</v>
      </c>
      <c r="C118" s="180"/>
      <c r="D118" s="555">
        <v>310</v>
      </c>
      <c r="E118" s="555">
        <v>244</v>
      </c>
      <c r="F118" s="557" t="s">
        <v>237</v>
      </c>
      <c r="G118" s="557"/>
      <c r="H118" s="557"/>
      <c r="I118" s="557"/>
      <c r="J118" s="557"/>
      <c r="K118" s="557"/>
      <c r="L118" s="557"/>
      <c r="M118" s="557"/>
      <c r="N118" s="557"/>
      <c r="O118" s="557"/>
      <c r="P118" s="557"/>
      <c r="Q118" s="557"/>
      <c r="R118" s="557"/>
      <c r="S118" s="550">
        <f>M120</f>
        <v>98400</v>
      </c>
      <c r="T118" s="550">
        <f>M121</f>
        <v>102500</v>
      </c>
      <c r="U118" s="550">
        <f>M122</f>
        <v>106700</v>
      </c>
      <c r="V118" s="64"/>
      <c r="W118" s="161" t="s">
        <v>300</v>
      </c>
    </row>
    <row r="119" spans="1:23" ht="13.5" customHeight="1" outlineLevel="1" x14ac:dyDescent="0.25">
      <c r="A119" s="389"/>
      <c r="B119" s="582"/>
      <c r="C119" s="180"/>
      <c r="D119" s="584"/>
      <c r="E119" s="584"/>
      <c r="F119" s="181"/>
      <c r="G119" s="182">
        <v>1</v>
      </c>
      <c r="H119" s="183" t="s">
        <v>231</v>
      </c>
      <c r="I119" s="182">
        <f>ROUNDUP((94610.26),2)</f>
        <v>94610.26</v>
      </c>
      <c r="J119" s="183" t="s">
        <v>41</v>
      </c>
      <c r="K119" s="182">
        <f>ROUND((G119*I119),2)</f>
        <v>94610.26</v>
      </c>
      <c r="L119" s="183" t="s">
        <v>37</v>
      </c>
      <c r="M119" s="183"/>
      <c r="N119" s="183"/>
      <c r="O119" s="183"/>
      <c r="P119" s="183"/>
      <c r="Q119" s="183"/>
      <c r="R119" s="188"/>
      <c r="S119" s="550"/>
      <c r="T119" s="550"/>
      <c r="U119" s="550"/>
      <c r="V119" s="64"/>
      <c r="W119" s="184"/>
    </row>
    <row r="120" spans="1:23" ht="15" x14ac:dyDescent="0.25">
      <c r="A120" s="389"/>
      <c r="B120" s="582"/>
      <c r="C120" s="180"/>
      <c r="D120" s="584"/>
      <c r="E120" s="584"/>
      <c r="F120" s="187" t="s">
        <v>151</v>
      </c>
      <c r="G120" s="182">
        <v>1</v>
      </c>
      <c r="H120" s="188" t="s">
        <v>271</v>
      </c>
      <c r="I120" s="189">
        <f>ROUNDUP(I119*(1.04),2)</f>
        <v>98394.68</v>
      </c>
      <c r="J120" s="183" t="s">
        <v>41</v>
      </c>
      <c r="K120" s="182">
        <f>ROUND((G120*I120),2)</f>
        <v>98394.68</v>
      </c>
      <c r="L120" s="183" t="s">
        <v>41</v>
      </c>
      <c r="M120" s="190">
        <f>ROUNDUP((K120),-2)</f>
        <v>98400</v>
      </c>
      <c r="N120" s="191" t="s">
        <v>37</v>
      </c>
      <c r="O120" s="190"/>
      <c r="P120" s="192"/>
      <c r="Q120" s="192"/>
      <c r="R120" s="192"/>
      <c r="S120" s="550"/>
      <c r="T120" s="550"/>
      <c r="U120" s="550"/>
      <c r="V120" s="64"/>
      <c r="W120" s="161" t="str">
        <f>""&amp;TEXT(G120,"0,0")&amp;" ед. х "&amp;TEXT(ROUND((K120/G120),2),"0,00")&amp;" руб. = "&amp;TEXT(ROUND((G120*(ROUND((K120/G120),2))),2),"0 000,00")&amp;" руб. = "&amp;TEXT(M120,"0 000,00")&amp;" руб."</f>
        <v>1,0 ед. х 98394,68 руб. = 98 394,68 руб. = 98 400,00 руб.</v>
      </c>
    </row>
    <row r="121" spans="1:23" ht="15" x14ac:dyDescent="0.25">
      <c r="A121" s="389"/>
      <c r="B121" s="582"/>
      <c r="C121" s="180"/>
      <c r="D121" s="584"/>
      <c r="E121" s="584"/>
      <c r="F121" s="187" t="s">
        <v>193</v>
      </c>
      <c r="G121" s="182">
        <v>1</v>
      </c>
      <c r="H121" s="183" t="str">
        <f>H120</f>
        <v>ед. х средняя цена с индексом потребительских цен</v>
      </c>
      <c r="I121" s="189">
        <f>ROUNDUP(I120*(1.041),2)</f>
        <v>102428.87</v>
      </c>
      <c r="J121" s="183" t="s">
        <v>41</v>
      </c>
      <c r="K121" s="182">
        <f t="shared" ref="K121:K122" si="23">ROUND((G121*I121),2)</f>
        <v>102428.87</v>
      </c>
      <c r="L121" s="183" t="s">
        <v>41</v>
      </c>
      <c r="M121" s="190">
        <f t="shared" ref="M121:M122" si="24">ROUNDUP((K121),-2)</f>
        <v>102500</v>
      </c>
      <c r="N121" s="191" t="s">
        <v>37</v>
      </c>
      <c r="O121" s="190"/>
      <c r="P121" s="192"/>
      <c r="Q121" s="192"/>
      <c r="R121" s="192"/>
      <c r="S121" s="550"/>
      <c r="T121" s="550"/>
      <c r="U121" s="550"/>
      <c r="V121" s="64"/>
      <c r="W121" s="161" t="str">
        <f>""&amp;TEXT(G121,"0,0")&amp;" ед. х "&amp;TEXT(ROUND((K121/G121),2),"0,00")&amp;" руб. = "&amp;TEXT(ROUND((G121*(ROUND((K121/G121),2))),2),"0 000,00")&amp;" руб. = "&amp;TEXT(M121,"0 000,00")&amp;" руб."</f>
        <v>1,0 ед. х 102428,87 руб. = 102 428,87 руб. = 102 500,00 руб.</v>
      </c>
    </row>
    <row r="122" spans="1:23" ht="15" x14ac:dyDescent="0.25">
      <c r="A122" s="390"/>
      <c r="B122" s="583"/>
      <c r="C122" s="180"/>
      <c r="D122" s="584"/>
      <c r="E122" s="584"/>
      <c r="F122" s="187" t="s">
        <v>226</v>
      </c>
      <c r="G122" s="182">
        <v>1</v>
      </c>
      <c r="H122" s="183" t="str">
        <f>H120</f>
        <v>ед. х средняя цена с индексом потребительских цен</v>
      </c>
      <c r="I122" s="189">
        <f>ROUNDUP(I121*(1.041),2)</f>
        <v>106628.45999999999</v>
      </c>
      <c r="J122" s="183" t="s">
        <v>41</v>
      </c>
      <c r="K122" s="182">
        <f t="shared" si="23"/>
        <v>106628.46</v>
      </c>
      <c r="L122" s="183" t="s">
        <v>41</v>
      </c>
      <c r="M122" s="190">
        <f t="shared" si="24"/>
        <v>106700</v>
      </c>
      <c r="N122" s="191" t="s">
        <v>37</v>
      </c>
      <c r="O122" s="190"/>
      <c r="P122" s="192"/>
      <c r="Q122" s="192"/>
      <c r="R122" s="192"/>
      <c r="S122" s="550"/>
      <c r="T122" s="550"/>
      <c r="U122" s="550"/>
      <c r="V122" s="64"/>
      <c r="W122" s="161" t="str">
        <f>""&amp;TEXT(G122,"0,0")&amp;" ед. х "&amp;TEXT(ROUND((K122/G122),2),"0,00")&amp;" руб. = "&amp;TEXT(ROUND((G122*(ROUND((K122/G122),2))),2),"0 000,00")&amp;" руб. = "&amp;TEXT(M122,"0 000,00")&amp;" руб."</f>
        <v>1,0 ед. х 106628,46 руб. = 106 628,46 руб. = 106 700,00 руб.</v>
      </c>
    </row>
    <row r="123" spans="1:23" ht="105" x14ac:dyDescent="0.25">
      <c r="A123" s="142" t="s">
        <v>16</v>
      </c>
      <c r="B123" s="143" t="s">
        <v>97</v>
      </c>
      <c r="C123" s="52"/>
      <c r="D123" s="149" t="s">
        <v>35</v>
      </c>
      <c r="E123" s="149" t="s">
        <v>35</v>
      </c>
      <c r="F123" s="423"/>
      <c r="G123" s="424"/>
      <c r="H123" s="424"/>
      <c r="I123" s="424"/>
      <c r="J123" s="424"/>
      <c r="K123" s="424"/>
      <c r="L123" s="424"/>
      <c r="M123" s="424"/>
      <c r="N123" s="424"/>
      <c r="O123" s="424"/>
      <c r="P123" s="424"/>
      <c r="Q123" s="424"/>
      <c r="R123" s="424"/>
      <c r="S123" s="217">
        <f>SUM(S124,S128,S133,S138,S143,S148,S153,S158,S163)</f>
        <v>4173900</v>
      </c>
      <c r="T123" s="217">
        <f>SUM(T124,T128,T133,T138,T143,T148,T153,T158,T163)</f>
        <v>4345700</v>
      </c>
      <c r="U123" s="217">
        <f>SUM(U124,U128,U133,U138,U143,U148,U153,U158,U163)</f>
        <v>4524100</v>
      </c>
      <c r="V123" s="52"/>
      <c r="W123" s="161" t="str">
        <f>"Нормативные "&amp;TEXT(B123,"0")&amp;" включают в себя:
нормативные "&amp;TEXT(B124,"0")&amp;";   нормативные "&amp;TEXT(B128,"0")&amp;";
нормативные "&amp;TEXT(B133,"0")&amp;";  нормативные "&amp;TEXT(B138,"0")&amp;";
нормативные "&amp;TEXT(B143,"0")&amp;";   нормативные "&amp;TEXT(B148,"0")&amp;";
нормативные "&amp;TEXT(B153,"0")&amp;";   нормативные "&amp;TEXT(B158,"0")&amp;";
нормативные "&amp;TEXT(B163,"0")&amp;""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набора канцелярских принадлежностей;   нормативные затраты на приобретение горюче-смазочных материалов;
нормативные затраты на приобретение противогазов;  нормативные затраты на приобретение комплектов индивидуальной медицинской гражданской защиты;
нормативные затраты на приобретение аптечки первой помощи;   нормативные затраты на приобретение  пакетов перевязочных индивидуальных;
нормативные затраты на приобретение индивидуальных противохимических пакетов;   нормативные затраты на приобретение запасных частей для мебели;
нормативные затраты на приобретение масок медицинских одноразовых</v>
      </c>
    </row>
    <row r="124" spans="1:23" ht="75" x14ac:dyDescent="0.25">
      <c r="A124" s="383" t="s">
        <v>17</v>
      </c>
      <c r="B124" s="540" t="s">
        <v>263</v>
      </c>
      <c r="C124" s="170"/>
      <c r="D124" s="542">
        <v>346</v>
      </c>
      <c r="E124" s="542">
        <v>244</v>
      </c>
      <c r="F124" s="544" t="s">
        <v>55</v>
      </c>
      <c r="G124" s="544"/>
      <c r="H124" s="544"/>
      <c r="I124" s="544"/>
      <c r="J124" s="544"/>
      <c r="K124" s="544"/>
      <c r="L124" s="544"/>
      <c r="M124" s="544"/>
      <c r="N124" s="544"/>
      <c r="O124" s="544"/>
      <c r="P124" s="544"/>
      <c r="Q124" s="544"/>
      <c r="R124" s="544"/>
      <c r="S124" s="545">
        <f>M125</f>
        <v>2672700</v>
      </c>
      <c r="T124" s="545">
        <f>M126</f>
        <v>2782800</v>
      </c>
      <c r="U124" s="545">
        <f>M127</f>
        <v>2897000</v>
      </c>
      <c r="V124" s="170"/>
      <c r="W124" s="163" t="s">
        <v>301</v>
      </c>
    </row>
    <row r="125" spans="1:23" ht="15" x14ac:dyDescent="0.25">
      <c r="A125" s="383"/>
      <c r="B125" s="541"/>
      <c r="C125" s="170"/>
      <c r="D125" s="543"/>
      <c r="E125" s="543"/>
      <c r="F125" s="164" t="s">
        <v>151</v>
      </c>
      <c r="G125" s="165">
        <v>213</v>
      </c>
      <c r="H125" s="166" t="s">
        <v>48</v>
      </c>
      <c r="I125" s="165">
        <v>12548</v>
      </c>
      <c r="J125" s="166" t="s">
        <v>41</v>
      </c>
      <c r="K125" s="165">
        <f>ROUND((G125*I125),2)</f>
        <v>2672724</v>
      </c>
      <c r="L125" s="166" t="s">
        <v>41</v>
      </c>
      <c r="M125" s="167">
        <f>ROUNDDOWN((K125),-2)</f>
        <v>2672700</v>
      </c>
      <c r="N125" s="168" t="s">
        <v>37</v>
      </c>
      <c r="O125" s="166"/>
      <c r="P125" s="166"/>
      <c r="Q125" s="166"/>
      <c r="R125" s="171"/>
      <c r="S125" s="545"/>
      <c r="T125" s="545"/>
      <c r="U125" s="545"/>
      <c r="V125" s="170"/>
      <c r="W125" s="163" t="str">
        <f>""&amp;TEXT(G125,"000,00")&amp;" шт.ед. х норматив "&amp;TEXT(I125,"0 000,00")&amp;" руб. = "&amp;TEXT(K125,"0 000,00")&amp;" руб. = "&amp;TEXT(M125,"0 000,00")&amp;" руб."</f>
        <v>213,00 шт.ед. х норматив 12 548,00 руб. = 2 672 724,00 руб. = 2 672 700,00 руб.</v>
      </c>
    </row>
    <row r="126" spans="1:23" ht="15" x14ac:dyDescent="0.25">
      <c r="A126" s="383"/>
      <c r="B126" s="541"/>
      <c r="C126" s="170"/>
      <c r="D126" s="543"/>
      <c r="E126" s="543"/>
      <c r="F126" s="164" t="s">
        <v>193</v>
      </c>
      <c r="G126" s="165">
        <v>213</v>
      </c>
      <c r="H126" s="166" t="s">
        <v>48</v>
      </c>
      <c r="I126" s="165">
        <v>13065</v>
      </c>
      <c r="J126" s="166" t="s">
        <v>41</v>
      </c>
      <c r="K126" s="165">
        <f t="shared" ref="K126:K127" si="25">ROUND((G126*I126),2)</f>
        <v>2782845</v>
      </c>
      <c r="L126" s="166" t="s">
        <v>41</v>
      </c>
      <c r="M126" s="167">
        <f t="shared" ref="M126:M127" si="26">ROUNDDOWN((K126),-2)</f>
        <v>2782800</v>
      </c>
      <c r="N126" s="168" t="s">
        <v>37</v>
      </c>
      <c r="O126" s="166"/>
      <c r="P126" s="166"/>
      <c r="Q126" s="166"/>
      <c r="R126" s="171"/>
      <c r="S126" s="545"/>
      <c r="T126" s="545"/>
      <c r="U126" s="545"/>
      <c r="V126" s="170"/>
      <c r="W126" s="163" t="str">
        <f t="shared" ref="W126:W127" si="27">""&amp;TEXT(G126,"000,00")&amp;" шт.ед. х норматив "&amp;TEXT(I126,"0 000,00")&amp;" руб. = "&amp;TEXT(K126,"0 000,00")&amp;" руб. = "&amp;TEXT(M126,"0 000,00")&amp;" руб."</f>
        <v>213,00 шт.ед. х норматив 13 065,00 руб. = 2 782 845,00 руб. = 2 782 800,00 руб.</v>
      </c>
    </row>
    <row r="127" spans="1:23" ht="15" x14ac:dyDescent="0.25">
      <c r="A127" s="383"/>
      <c r="B127" s="541"/>
      <c r="C127" s="170"/>
      <c r="D127" s="543"/>
      <c r="E127" s="543"/>
      <c r="F127" s="164" t="s">
        <v>226</v>
      </c>
      <c r="G127" s="165">
        <v>213</v>
      </c>
      <c r="H127" s="166" t="s">
        <v>48</v>
      </c>
      <c r="I127" s="165">
        <v>13601</v>
      </c>
      <c r="J127" s="166" t="s">
        <v>41</v>
      </c>
      <c r="K127" s="165">
        <f t="shared" si="25"/>
        <v>2897013</v>
      </c>
      <c r="L127" s="166" t="s">
        <v>41</v>
      </c>
      <c r="M127" s="167">
        <f t="shared" si="26"/>
        <v>2897000</v>
      </c>
      <c r="N127" s="168" t="s">
        <v>37</v>
      </c>
      <c r="O127" s="166"/>
      <c r="P127" s="166"/>
      <c r="Q127" s="166"/>
      <c r="R127" s="171"/>
      <c r="S127" s="545"/>
      <c r="T127" s="545"/>
      <c r="U127" s="545"/>
      <c r="V127" s="170"/>
      <c r="W127" s="163" t="str">
        <f t="shared" si="27"/>
        <v>213,00 шт.ед. х норматив 13 601,00 руб. = 2 897 013,00 руб. = 2 897 000,00 руб.</v>
      </c>
    </row>
    <row r="128" spans="1:23" s="227" customFormat="1" ht="90" x14ac:dyDescent="0.25">
      <c r="A128" s="589" t="s">
        <v>18</v>
      </c>
      <c r="B128" s="590" t="s">
        <v>100</v>
      </c>
      <c r="C128" s="225"/>
      <c r="D128" s="592">
        <v>343</v>
      </c>
      <c r="E128" s="592">
        <v>244</v>
      </c>
      <c r="F128" s="595" t="s">
        <v>268</v>
      </c>
      <c r="G128" s="596"/>
      <c r="H128" s="596"/>
      <c r="I128" s="596"/>
      <c r="J128" s="596"/>
      <c r="K128" s="596"/>
      <c r="L128" s="596"/>
      <c r="M128" s="596"/>
      <c r="N128" s="596"/>
      <c r="O128" s="596"/>
      <c r="P128" s="596"/>
      <c r="Q128" s="596"/>
      <c r="R128" s="597"/>
      <c r="S128" s="598">
        <f>M130</f>
        <v>39400</v>
      </c>
      <c r="T128" s="598">
        <f>M131</f>
        <v>41000</v>
      </c>
      <c r="U128" s="598">
        <f>M132</f>
        <v>42700</v>
      </c>
      <c r="V128" s="225"/>
      <c r="W128" s="226" t="s">
        <v>302</v>
      </c>
    </row>
    <row r="129" spans="1:23" s="227" customFormat="1" ht="17.25" customHeight="1" outlineLevel="1" x14ac:dyDescent="0.25">
      <c r="A129" s="589"/>
      <c r="B129" s="591"/>
      <c r="C129" s="225"/>
      <c r="D129" s="593"/>
      <c r="E129" s="594"/>
      <c r="F129" s="228"/>
      <c r="G129" s="229">
        <v>750</v>
      </c>
      <c r="H129" s="230" t="s">
        <v>303</v>
      </c>
      <c r="I129" s="229">
        <f>ROUNDUP((39375/750),2)</f>
        <v>52.5</v>
      </c>
      <c r="J129" s="230" t="s">
        <v>41</v>
      </c>
      <c r="K129" s="229">
        <f>ROUND((G129*I129),2)</f>
        <v>39375</v>
      </c>
      <c r="L129" s="230" t="s">
        <v>37</v>
      </c>
      <c r="M129" s="230"/>
      <c r="N129" s="230"/>
      <c r="O129" s="230"/>
      <c r="P129" s="230"/>
      <c r="Q129" s="230"/>
      <c r="R129" s="231"/>
      <c r="S129" s="599"/>
      <c r="T129" s="599"/>
      <c r="U129" s="599"/>
      <c r="V129" s="225"/>
      <c r="W129" s="226"/>
    </row>
    <row r="130" spans="1:23" s="227" customFormat="1" ht="15" x14ac:dyDescent="0.25">
      <c r="A130" s="589"/>
      <c r="B130" s="591"/>
      <c r="C130" s="225"/>
      <c r="D130" s="593"/>
      <c r="E130" s="594"/>
      <c r="F130" s="232" t="s">
        <v>151</v>
      </c>
      <c r="G130" s="229">
        <v>750</v>
      </c>
      <c r="H130" s="231" t="s">
        <v>304</v>
      </c>
      <c r="I130" s="233">
        <f>ROUNDUP(I129*(1.04-1.04+1),2)</f>
        <v>52.5</v>
      </c>
      <c r="J130" s="230" t="s">
        <v>41</v>
      </c>
      <c r="K130" s="229">
        <f>G130*I130</f>
        <v>39375</v>
      </c>
      <c r="L130" s="230" t="s">
        <v>41</v>
      </c>
      <c r="M130" s="234">
        <f>ROUNDUP((K130),-2)</f>
        <v>39400</v>
      </c>
      <c r="N130" s="235" t="s">
        <v>37</v>
      </c>
      <c r="O130" s="234"/>
      <c r="P130" s="236"/>
      <c r="Q130" s="236"/>
      <c r="R130" s="236"/>
      <c r="S130" s="599"/>
      <c r="T130" s="599"/>
      <c r="U130" s="599"/>
      <c r="V130" s="225"/>
      <c r="W130" s="226" t="str">
        <f>""&amp;TEXT(G130,"0,0")&amp;" л. х "&amp;TEXT(ROUND((K130/G130),2),"0,00")&amp;" руб. = "&amp;TEXT(ROUND((G130*(ROUND((K130/G130),2))),2),"0 000,00")&amp;" руб. = "&amp;TEXT(M130,"0 000,00")&amp;" руб."</f>
        <v>750,0 л. х 52,50 руб. = 39 375,00 руб. = 39 400,00 руб.</v>
      </c>
    </row>
    <row r="131" spans="1:23" s="227" customFormat="1" ht="15" x14ac:dyDescent="0.25">
      <c r="A131" s="589"/>
      <c r="B131" s="591"/>
      <c r="C131" s="225"/>
      <c r="D131" s="593"/>
      <c r="E131" s="594"/>
      <c r="F131" s="232" t="s">
        <v>193</v>
      </c>
      <c r="G131" s="229">
        <v>750</v>
      </c>
      <c r="H131" s="230" t="str">
        <f>H130</f>
        <v>л. х средняя цена с индексом потребительских цен =</v>
      </c>
      <c r="I131" s="233">
        <f>ROUNDUP(I130*(1.041),2)</f>
        <v>54.66</v>
      </c>
      <c r="J131" s="230" t="s">
        <v>41</v>
      </c>
      <c r="K131" s="229">
        <f t="shared" ref="K131:K132" si="28">G131*I131</f>
        <v>40995</v>
      </c>
      <c r="L131" s="230" t="s">
        <v>41</v>
      </c>
      <c r="M131" s="234">
        <f>ROUNDUP((K131),-2)</f>
        <v>41000</v>
      </c>
      <c r="N131" s="235" t="s">
        <v>37</v>
      </c>
      <c r="O131" s="234"/>
      <c r="P131" s="236"/>
      <c r="Q131" s="236"/>
      <c r="R131" s="236"/>
      <c r="S131" s="599"/>
      <c r="T131" s="599"/>
      <c r="U131" s="599"/>
      <c r="V131" s="225"/>
      <c r="W131" s="226" t="str">
        <f t="shared" ref="W131:W132" si="29">""&amp;TEXT(G131,"0,0")&amp;" л. х "&amp;TEXT(ROUND((K131/G131),2),"0,00")&amp;" руб. = "&amp;TEXT(ROUND((G131*(ROUND((K131/G131),2))),2),"0 000,00")&amp;" руб. = "&amp;TEXT(M131,"0 000,00")&amp;" руб."</f>
        <v>750,0 л. х 54,66 руб. = 40 995,00 руб. = 41 000,00 руб.</v>
      </c>
    </row>
    <row r="132" spans="1:23" s="227" customFormat="1" ht="15" x14ac:dyDescent="0.25">
      <c r="A132" s="589"/>
      <c r="B132" s="591"/>
      <c r="C132" s="225"/>
      <c r="D132" s="593"/>
      <c r="E132" s="594"/>
      <c r="F132" s="232" t="s">
        <v>226</v>
      </c>
      <c r="G132" s="229">
        <v>750</v>
      </c>
      <c r="H132" s="230" t="str">
        <f>H130</f>
        <v>л. х средняя цена с индексом потребительских цен =</v>
      </c>
      <c r="I132" s="233">
        <f>ROUNDUP(I131*(1.041),2)</f>
        <v>56.91</v>
      </c>
      <c r="J132" s="230" t="s">
        <v>41</v>
      </c>
      <c r="K132" s="229">
        <f t="shared" si="28"/>
        <v>42682.5</v>
      </c>
      <c r="L132" s="230" t="s">
        <v>41</v>
      </c>
      <c r="M132" s="234">
        <f>ROUNDUP((K132),-2)</f>
        <v>42700</v>
      </c>
      <c r="N132" s="235" t="s">
        <v>37</v>
      </c>
      <c r="O132" s="234"/>
      <c r="P132" s="236"/>
      <c r="Q132" s="236"/>
      <c r="R132" s="236"/>
      <c r="S132" s="600"/>
      <c r="T132" s="600"/>
      <c r="U132" s="600"/>
      <c r="V132" s="225"/>
      <c r="W132" s="226" t="str">
        <f t="shared" si="29"/>
        <v>750,0 л. х 56,91 руб. = 42 682,50 руб. = 42 700,00 руб.</v>
      </c>
    </row>
    <row r="133" spans="1:23" ht="90" x14ac:dyDescent="0.25">
      <c r="A133" s="383" t="s">
        <v>26</v>
      </c>
      <c r="B133" s="553" t="s">
        <v>305</v>
      </c>
      <c r="C133" s="180"/>
      <c r="D133" s="555">
        <v>345</v>
      </c>
      <c r="E133" s="555">
        <v>244</v>
      </c>
      <c r="F133" s="557" t="s">
        <v>268</v>
      </c>
      <c r="G133" s="557"/>
      <c r="H133" s="557"/>
      <c r="I133" s="557"/>
      <c r="J133" s="557"/>
      <c r="K133" s="557"/>
      <c r="L133" s="557"/>
      <c r="M133" s="557"/>
      <c r="N133" s="557"/>
      <c r="O133" s="557"/>
      <c r="P133" s="557"/>
      <c r="Q133" s="557"/>
      <c r="R133" s="557"/>
      <c r="S133" s="550">
        <f>M135</f>
        <v>776500</v>
      </c>
      <c r="T133" s="550">
        <f>M136</f>
        <v>808400</v>
      </c>
      <c r="U133" s="550">
        <f>M137</f>
        <v>841500</v>
      </c>
      <c r="V133" s="180"/>
      <c r="W133" s="161" t="s">
        <v>306</v>
      </c>
    </row>
    <row r="134" spans="1:23" ht="17.25" customHeight="1" outlineLevel="1" x14ac:dyDescent="0.25">
      <c r="A134" s="383"/>
      <c r="B134" s="554"/>
      <c r="C134" s="180"/>
      <c r="D134" s="556"/>
      <c r="E134" s="560"/>
      <c r="F134" s="181"/>
      <c r="G134" s="182">
        <v>224</v>
      </c>
      <c r="H134" s="183" t="s">
        <v>78</v>
      </c>
      <c r="I134" s="182">
        <f>ROUNDUP((776498.24/224),2)</f>
        <v>3466.51</v>
      </c>
      <c r="J134" s="183" t="s">
        <v>41</v>
      </c>
      <c r="K134" s="182">
        <f>ROUND((G134*I134),2)</f>
        <v>776498.24</v>
      </c>
      <c r="L134" s="183" t="s">
        <v>37</v>
      </c>
      <c r="M134" s="183"/>
      <c r="N134" s="183"/>
      <c r="O134" s="183"/>
      <c r="P134" s="183"/>
      <c r="Q134" s="183"/>
      <c r="R134" s="188"/>
      <c r="S134" s="550"/>
      <c r="T134" s="550"/>
      <c r="U134" s="550"/>
      <c r="V134" s="180"/>
      <c r="W134" s="161"/>
    </row>
    <row r="135" spans="1:23" ht="15" x14ac:dyDescent="0.25">
      <c r="A135" s="383"/>
      <c r="B135" s="554"/>
      <c r="C135" s="180"/>
      <c r="D135" s="556"/>
      <c r="E135" s="560"/>
      <c r="F135" s="187" t="s">
        <v>151</v>
      </c>
      <c r="G135" s="182">
        <v>224</v>
      </c>
      <c r="H135" s="188" t="s">
        <v>294</v>
      </c>
      <c r="I135" s="189">
        <f>ROUNDUP(I134*(1.04-1.04+1),2)</f>
        <v>3466.51</v>
      </c>
      <c r="J135" s="183" t="s">
        <v>41</v>
      </c>
      <c r="K135" s="182">
        <f>G135*I135</f>
        <v>776498.24</v>
      </c>
      <c r="L135" s="183" t="s">
        <v>41</v>
      </c>
      <c r="M135" s="190">
        <f>ROUNDUP((K135),-2)</f>
        <v>776500</v>
      </c>
      <c r="N135" s="191" t="s">
        <v>37</v>
      </c>
      <c r="O135" s="190"/>
      <c r="P135" s="192"/>
      <c r="Q135" s="192"/>
      <c r="R135" s="192"/>
      <c r="S135" s="550"/>
      <c r="T135" s="550"/>
      <c r="U135" s="550"/>
      <c r="V135" s="180"/>
      <c r="W135" s="161" t="str">
        <f>""&amp;TEXT(G135,"0,0")&amp;" шт. х "&amp;TEXT(ROUND((K135/G135),2),"0,00")&amp;" руб. = "&amp;TEXT(ROUND((G135*(ROUND((K135/G135),2))),2),"0 000,00")&amp;" руб. = "&amp;TEXT(M135,"0 000,00")&amp;" руб."</f>
        <v>224,0 шт. х 3466,51 руб. = 776 498,24 руб. = 776 500,00 руб.</v>
      </c>
    </row>
    <row r="136" spans="1:23" ht="15" x14ac:dyDescent="0.25">
      <c r="A136" s="383"/>
      <c r="B136" s="554"/>
      <c r="C136" s="180"/>
      <c r="D136" s="556"/>
      <c r="E136" s="560"/>
      <c r="F136" s="187" t="s">
        <v>193</v>
      </c>
      <c r="G136" s="182">
        <v>224</v>
      </c>
      <c r="H136" s="183" t="str">
        <f>H135</f>
        <v>шт. х средняя цена с индексом потребительских цен</v>
      </c>
      <c r="I136" s="189">
        <f>ROUNDUP(I135*(1.041),2)</f>
        <v>3608.6400000000003</v>
      </c>
      <c r="J136" s="183" t="s">
        <v>41</v>
      </c>
      <c r="K136" s="182">
        <f t="shared" ref="K136:K137" si="30">G136*I136</f>
        <v>808335.3600000001</v>
      </c>
      <c r="L136" s="183" t="s">
        <v>41</v>
      </c>
      <c r="M136" s="190">
        <f>ROUNDUP((K136),-2)</f>
        <v>808400</v>
      </c>
      <c r="N136" s="191" t="s">
        <v>37</v>
      </c>
      <c r="O136" s="190"/>
      <c r="P136" s="192"/>
      <c r="Q136" s="192"/>
      <c r="R136" s="192"/>
      <c r="S136" s="550"/>
      <c r="T136" s="550"/>
      <c r="U136" s="550"/>
      <c r="V136" s="180"/>
      <c r="W136" s="161" t="str">
        <f>""&amp;TEXT(G136,"0,0")&amp;" шт. х "&amp;TEXT(ROUND((K136/G136),2),"0,00")&amp;" руб. = "&amp;TEXT(ROUND((G136*(ROUND((K136/G136),2))),2),"0 000,00")&amp;" руб. = "&amp;TEXT(M136,"0 000,00")&amp;" руб."</f>
        <v>224,0 шт. х 3608,64 руб. = 808 335,36 руб. = 808 400,00 руб.</v>
      </c>
    </row>
    <row r="137" spans="1:23" ht="15" x14ac:dyDescent="0.25">
      <c r="A137" s="383"/>
      <c r="B137" s="554"/>
      <c r="C137" s="180"/>
      <c r="D137" s="556"/>
      <c r="E137" s="560"/>
      <c r="F137" s="187" t="s">
        <v>226</v>
      </c>
      <c r="G137" s="182">
        <v>224</v>
      </c>
      <c r="H137" s="183" t="str">
        <f>H135</f>
        <v>шт. х средняя цена с индексом потребительских цен</v>
      </c>
      <c r="I137" s="189">
        <f>ROUNDUP(I136*(1.041),2)</f>
        <v>3756.6000000000004</v>
      </c>
      <c r="J137" s="183" t="s">
        <v>41</v>
      </c>
      <c r="K137" s="182">
        <f t="shared" si="30"/>
        <v>841478.40000000014</v>
      </c>
      <c r="L137" s="183" t="s">
        <v>41</v>
      </c>
      <c r="M137" s="190">
        <f>ROUNDUP((K137),-2)</f>
        <v>841500</v>
      </c>
      <c r="N137" s="191" t="s">
        <v>37</v>
      </c>
      <c r="O137" s="190"/>
      <c r="P137" s="192"/>
      <c r="Q137" s="192"/>
      <c r="R137" s="192"/>
      <c r="S137" s="551"/>
      <c r="T137" s="551"/>
      <c r="U137" s="551"/>
      <c r="V137" s="180"/>
      <c r="W137" s="161" t="str">
        <f>""&amp;TEXT(G137,"0,0")&amp;" шт. х "&amp;TEXT(ROUND((K137/G137),2),"0,00")&amp;" руб. = "&amp;TEXT(ROUND((G137*(ROUND((K137/G137),2))),2),"0 000,00")&amp;" руб. = "&amp;TEXT(M137,"0 000,00")&amp;" руб."</f>
        <v>224,0 шт. х 3756,60 руб. = 841 478,40 руб. = 841 500,00 руб.</v>
      </c>
    </row>
    <row r="138" spans="1:23" ht="90" x14ac:dyDescent="0.25">
      <c r="A138" s="383" t="s">
        <v>200</v>
      </c>
      <c r="B138" s="553" t="s">
        <v>307</v>
      </c>
      <c r="C138" s="180"/>
      <c r="D138" s="555">
        <v>341</v>
      </c>
      <c r="E138" s="555">
        <v>244</v>
      </c>
      <c r="F138" s="557" t="s">
        <v>268</v>
      </c>
      <c r="G138" s="557"/>
      <c r="H138" s="557"/>
      <c r="I138" s="557"/>
      <c r="J138" s="557"/>
      <c r="K138" s="557"/>
      <c r="L138" s="557"/>
      <c r="M138" s="557"/>
      <c r="N138" s="557"/>
      <c r="O138" s="557"/>
      <c r="P138" s="557"/>
      <c r="Q138" s="557"/>
      <c r="R138" s="557"/>
      <c r="S138" s="550">
        <f>M140</f>
        <v>45600</v>
      </c>
      <c r="T138" s="550">
        <f>M141</f>
        <v>47500</v>
      </c>
      <c r="U138" s="550">
        <f>M142</f>
        <v>49400</v>
      </c>
      <c r="V138" s="180"/>
      <c r="W138" s="161" t="s">
        <v>308</v>
      </c>
    </row>
    <row r="139" spans="1:23" ht="17.25" customHeight="1" outlineLevel="1" x14ac:dyDescent="0.25">
      <c r="A139" s="383"/>
      <c r="B139" s="554"/>
      <c r="C139" s="180"/>
      <c r="D139" s="556"/>
      <c r="E139" s="560"/>
      <c r="F139" s="181"/>
      <c r="G139" s="182">
        <v>64</v>
      </c>
      <c r="H139" s="183" t="s">
        <v>78</v>
      </c>
      <c r="I139" s="182">
        <f>ROUNDUP((45557.76/64),2)</f>
        <v>711.84</v>
      </c>
      <c r="J139" s="183" t="s">
        <v>41</v>
      </c>
      <c r="K139" s="182">
        <f>ROUND((G139*I139),2)</f>
        <v>45557.760000000002</v>
      </c>
      <c r="L139" s="183" t="s">
        <v>37</v>
      </c>
      <c r="M139" s="183"/>
      <c r="N139" s="183"/>
      <c r="O139" s="183"/>
      <c r="P139" s="183"/>
      <c r="Q139" s="183"/>
      <c r="R139" s="188"/>
      <c r="S139" s="550"/>
      <c r="T139" s="550"/>
      <c r="U139" s="550"/>
      <c r="V139" s="180"/>
      <c r="W139" s="161"/>
    </row>
    <row r="140" spans="1:23" ht="15" x14ac:dyDescent="0.25">
      <c r="A140" s="383"/>
      <c r="B140" s="554"/>
      <c r="C140" s="180"/>
      <c r="D140" s="556"/>
      <c r="E140" s="560"/>
      <c r="F140" s="187" t="s">
        <v>151</v>
      </c>
      <c r="G140" s="182">
        <v>64</v>
      </c>
      <c r="H140" s="188" t="s">
        <v>294</v>
      </c>
      <c r="I140" s="189">
        <f>ROUNDUP(I139*(1.04-1.04+1),2)</f>
        <v>711.84</v>
      </c>
      <c r="J140" s="183" t="s">
        <v>41</v>
      </c>
      <c r="K140" s="182">
        <f>G140*I140</f>
        <v>45557.760000000002</v>
      </c>
      <c r="L140" s="183" t="s">
        <v>41</v>
      </c>
      <c r="M140" s="190">
        <f>ROUNDUP((K140),-2)</f>
        <v>45600</v>
      </c>
      <c r="N140" s="191" t="s">
        <v>37</v>
      </c>
      <c r="O140" s="190"/>
      <c r="P140" s="192"/>
      <c r="Q140" s="192"/>
      <c r="R140" s="192"/>
      <c r="S140" s="550"/>
      <c r="T140" s="550"/>
      <c r="U140" s="550"/>
      <c r="V140" s="180"/>
      <c r="W140" s="161" t="str">
        <f>""&amp;TEXT(G140,"0,0")&amp;" шт. х "&amp;TEXT(ROUND((K140/G140),2),"0,00")&amp;" руб. = "&amp;TEXT(ROUND((G140*(ROUND((K140/G140),2))),2),"0 000,00")&amp;" руб. = "&amp;TEXT(M140,"0 000,00")&amp;" руб."</f>
        <v>64,0 шт. х 711,84 руб. = 45 557,76 руб. = 45 600,00 руб.</v>
      </c>
    </row>
    <row r="141" spans="1:23" ht="15" x14ac:dyDescent="0.25">
      <c r="A141" s="383"/>
      <c r="B141" s="554"/>
      <c r="C141" s="180"/>
      <c r="D141" s="556"/>
      <c r="E141" s="560"/>
      <c r="F141" s="187" t="s">
        <v>193</v>
      </c>
      <c r="G141" s="182">
        <v>64</v>
      </c>
      <c r="H141" s="183" t="str">
        <f>H140</f>
        <v>шт. х средняя цена с индексом потребительских цен</v>
      </c>
      <c r="I141" s="189">
        <f>ROUNDUP(I140*(1.041),2)</f>
        <v>741.03</v>
      </c>
      <c r="J141" s="183" t="s">
        <v>41</v>
      </c>
      <c r="K141" s="182">
        <f t="shared" ref="K141:K142" si="31">G141*I141</f>
        <v>47425.919999999998</v>
      </c>
      <c r="L141" s="183" t="s">
        <v>41</v>
      </c>
      <c r="M141" s="190">
        <f>ROUNDUP((K141),-2)</f>
        <v>47500</v>
      </c>
      <c r="N141" s="191" t="s">
        <v>37</v>
      </c>
      <c r="O141" s="190"/>
      <c r="P141" s="192"/>
      <c r="Q141" s="192"/>
      <c r="R141" s="192"/>
      <c r="S141" s="550"/>
      <c r="T141" s="550"/>
      <c r="U141" s="550"/>
      <c r="V141" s="180"/>
      <c r="W141" s="161" t="str">
        <f>""&amp;TEXT(G141,"0,0")&amp;" шт. х "&amp;TEXT(ROUND((K141/G141),2),"0,00")&amp;" руб. = "&amp;TEXT(ROUND((G141*(ROUND((K141/G141),2))),2),"0 000,00")&amp;" руб. = "&amp;TEXT(M141,"0 000,00")&amp;" руб."</f>
        <v>64,0 шт. х 741,03 руб. = 47 425,92 руб. = 47 500,00 руб.</v>
      </c>
    </row>
    <row r="142" spans="1:23" ht="15" x14ac:dyDescent="0.25">
      <c r="A142" s="383"/>
      <c r="B142" s="554"/>
      <c r="C142" s="180"/>
      <c r="D142" s="556"/>
      <c r="E142" s="560"/>
      <c r="F142" s="187" t="s">
        <v>226</v>
      </c>
      <c r="G142" s="182">
        <v>64</v>
      </c>
      <c r="H142" s="183" t="str">
        <f>H140</f>
        <v>шт. х средняя цена с индексом потребительских цен</v>
      </c>
      <c r="I142" s="189">
        <f>ROUNDUP(I141*(1.041),2)</f>
        <v>771.42</v>
      </c>
      <c r="J142" s="183" t="s">
        <v>41</v>
      </c>
      <c r="K142" s="182">
        <f t="shared" si="31"/>
        <v>49370.879999999997</v>
      </c>
      <c r="L142" s="183" t="s">
        <v>41</v>
      </c>
      <c r="M142" s="190">
        <f>ROUNDUP((K142),-2)</f>
        <v>49400</v>
      </c>
      <c r="N142" s="191" t="s">
        <v>37</v>
      </c>
      <c r="O142" s="190"/>
      <c r="P142" s="192"/>
      <c r="Q142" s="192"/>
      <c r="R142" s="192"/>
      <c r="S142" s="551"/>
      <c r="T142" s="551"/>
      <c r="U142" s="551"/>
      <c r="V142" s="180"/>
      <c r="W142" s="161" t="str">
        <f>""&amp;TEXT(G142,"0,0")&amp;" шт. х "&amp;TEXT(ROUND((K142/G142),2),"0,00")&amp;" руб. = "&amp;TEXT(ROUND((G142*(ROUND((K142/G142),2))),2),"0 000,00")&amp;" руб. = "&amp;TEXT(M142,"0 000,00")&amp;" руб."</f>
        <v>64,0 шт. х 771,42 руб. = 49 370,88 руб. = 49 400,00 руб.</v>
      </c>
    </row>
    <row r="143" spans="1:23" ht="90" collapsed="1" x14ac:dyDescent="0.25">
      <c r="A143" s="383" t="s">
        <v>213</v>
      </c>
      <c r="B143" s="553" t="s">
        <v>309</v>
      </c>
      <c r="C143" s="180"/>
      <c r="D143" s="555">
        <v>341</v>
      </c>
      <c r="E143" s="555">
        <v>244</v>
      </c>
      <c r="F143" s="557" t="s">
        <v>268</v>
      </c>
      <c r="G143" s="557"/>
      <c r="H143" s="557"/>
      <c r="I143" s="557"/>
      <c r="J143" s="557"/>
      <c r="K143" s="557"/>
      <c r="L143" s="557"/>
      <c r="M143" s="557"/>
      <c r="N143" s="557"/>
      <c r="O143" s="557"/>
      <c r="P143" s="557"/>
      <c r="Q143" s="557"/>
      <c r="R143" s="557"/>
      <c r="S143" s="550">
        <f>M145</f>
        <v>6900</v>
      </c>
      <c r="T143" s="550">
        <f>M146</f>
        <v>7200</v>
      </c>
      <c r="U143" s="550">
        <f>M147</f>
        <v>7500</v>
      </c>
      <c r="V143" s="64"/>
      <c r="W143" s="161" t="s">
        <v>310</v>
      </c>
    </row>
    <row r="144" spans="1:23" ht="15" hidden="1" outlineLevel="1" x14ac:dyDescent="0.25">
      <c r="A144" s="383"/>
      <c r="B144" s="554"/>
      <c r="C144" s="180"/>
      <c r="D144" s="556"/>
      <c r="E144" s="560"/>
      <c r="F144" s="181"/>
      <c r="G144" s="182">
        <v>11</v>
      </c>
      <c r="H144" s="183" t="s">
        <v>78</v>
      </c>
      <c r="I144" s="182">
        <f>ROUNDUP((6883.47/11),2)</f>
        <v>625.77</v>
      </c>
      <c r="J144" s="183" t="s">
        <v>41</v>
      </c>
      <c r="K144" s="182">
        <f>ROUND((G144*I144),2)</f>
        <v>6883.47</v>
      </c>
      <c r="L144" s="183" t="s">
        <v>37</v>
      </c>
      <c r="M144" s="183"/>
      <c r="N144" s="183"/>
      <c r="O144" s="183"/>
      <c r="P144" s="183"/>
      <c r="Q144" s="183"/>
      <c r="R144" s="188"/>
      <c r="S144" s="550"/>
      <c r="T144" s="550"/>
      <c r="U144" s="550"/>
      <c r="V144" s="64"/>
      <c r="W144" s="161"/>
    </row>
    <row r="145" spans="1:23" ht="15" x14ac:dyDescent="0.25">
      <c r="A145" s="383"/>
      <c r="B145" s="554"/>
      <c r="C145" s="180"/>
      <c r="D145" s="556"/>
      <c r="E145" s="560"/>
      <c r="F145" s="187" t="s">
        <v>151</v>
      </c>
      <c r="G145" s="182">
        <v>11</v>
      </c>
      <c r="H145" s="188" t="s">
        <v>294</v>
      </c>
      <c r="I145" s="189">
        <f>ROUNDUP(I144*(1.04-1.04+1),2)</f>
        <v>625.77</v>
      </c>
      <c r="J145" s="183" t="s">
        <v>41</v>
      </c>
      <c r="K145" s="182">
        <f>G145*I145</f>
        <v>6883.4699999999993</v>
      </c>
      <c r="L145" s="183" t="s">
        <v>41</v>
      </c>
      <c r="M145" s="190">
        <f>ROUNDUP((K145),-2)</f>
        <v>6900</v>
      </c>
      <c r="N145" s="191" t="s">
        <v>37</v>
      </c>
      <c r="O145" s="190"/>
      <c r="P145" s="192"/>
      <c r="Q145" s="192"/>
      <c r="R145" s="192"/>
      <c r="S145" s="550"/>
      <c r="T145" s="550"/>
      <c r="U145" s="550"/>
      <c r="V145" s="64"/>
      <c r="W145" s="161" t="str">
        <f>""&amp;TEXT(G145,"0,0")&amp;" шт. х "&amp;TEXT(ROUND((K145/G145),2),"0,00")&amp;" руб. = "&amp;TEXT(ROUND((G145*(ROUND((K145/G145),2))),2),"0 000,00")&amp;" руб. = "&amp;TEXT(M145,"0 000,00")&amp;" руб."</f>
        <v>11,0 шт. х 625,77 руб. = 6 883,47 руб. = 6 900,00 руб.</v>
      </c>
    </row>
    <row r="146" spans="1:23" ht="15" x14ac:dyDescent="0.25">
      <c r="A146" s="383"/>
      <c r="B146" s="554"/>
      <c r="C146" s="180"/>
      <c r="D146" s="556"/>
      <c r="E146" s="560"/>
      <c r="F146" s="187" t="s">
        <v>193</v>
      </c>
      <c r="G146" s="182">
        <v>11</v>
      </c>
      <c r="H146" s="183" t="str">
        <f>H145</f>
        <v>шт. х средняя цена с индексом потребительских цен</v>
      </c>
      <c r="I146" s="189">
        <f>ROUNDUP(I145*(1.041),2)</f>
        <v>651.42999999999995</v>
      </c>
      <c r="J146" s="183" t="s">
        <v>41</v>
      </c>
      <c r="K146" s="182">
        <f t="shared" ref="K146:K147" si="32">G146*I146</f>
        <v>7165.73</v>
      </c>
      <c r="L146" s="183" t="s">
        <v>41</v>
      </c>
      <c r="M146" s="190">
        <f>ROUNDUP((K146),-2)</f>
        <v>7200</v>
      </c>
      <c r="N146" s="191" t="s">
        <v>37</v>
      </c>
      <c r="O146" s="190"/>
      <c r="P146" s="192"/>
      <c r="Q146" s="192"/>
      <c r="R146" s="192"/>
      <c r="S146" s="550"/>
      <c r="T146" s="550"/>
      <c r="U146" s="550"/>
      <c r="V146" s="64"/>
      <c r="W146" s="161" t="str">
        <f>""&amp;TEXT(G146,"0,0")&amp;" шт. х "&amp;TEXT(ROUND((K146/G146),2),"0,00")&amp;" руб. = "&amp;TEXT(ROUND((G146*(ROUND((K146/G146),2))),2),"0 000,00")&amp;" руб. = "&amp;TEXT(M146,"0 000,00")&amp;" руб."</f>
        <v>11,0 шт. х 651,43 руб. = 7 165,73 руб. = 7 200,00 руб.</v>
      </c>
    </row>
    <row r="147" spans="1:23" ht="15" x14ac:dyDescent="0.25">
      <c r="A147" s="383"/>
      <c r="B147" s="554"/>
      <c r="C147" s="180"/>
      <c r="D147" s="556"/>
      <c r="E147" s="560"/>
      <c r="F147" s="187" t="s">
        <v>226</v>
      </c>
      <c r="G147" s="182">
        <v>11</v>
      </c>
      <c r="H147" s="183" t="str">
        <f>H145</f>
        <v>шт. х средняя цена с индексом потребительских цен</v>
      </c>
      <c r="I147" s="189">
        <f>ROUNDUP(I146*(1.041),2)</f>
        <v>678.14</v>
      </c>
      <c r="J147" s="183" t="s">
        <v>41</v>
      </c>
      <c r="K147" s="182">
        <f t="shared" si="32"/>
        <v>7459.54</v>
      </c>
      <c r="L147" s="183" t="s">
        <v>41</v>
      </c>
      <c r="M147" s="190">
        <f>ROUNDUP((K147),-2)</f>
        <v>7500</v>
      </c>
      <c r="N147" s="191" t="s">
        <v>37</v>
      </c>
      <c r="O147" s="190"/>
      <c r="P147" s="192"/>
      <c r="Q147" s="192"/>
      <c r="R147" s="192"/>
      <c r="S147" s="551"/>
      <c r="T147" s="551"/>
      <c r="U147" s="551"/>
      <c r="V147" s="64"/>
      <c r="W147" s="161" t="str">
        <f>""&amp;TEXT(G147,"0,0")&amp;" шт. х "&amp;TEXT(ROUND((K147/G147),2),"0,00")&amp;" руб. = "&amp;TEXT(ROUND((G147*(ROUND((K147/G147),2))),2),"0 000,00")&amp;" руб. = "&amp;TEXT(M147,"0 000,00")&amp;" руб."</f>
        <v>11,0 шт. х 678,14 руб. = 7 459,54 руб. = 7 500,00 руб.</v>
      </c>
    </row>
    <row r="148" spans="1:23" ht="90" x14ac:dyDescent="0.25">
      <c r="A148" s="383" t="s">
        <v>311</v>
      </c>
      <c r="B148" s="553" t="s">
        <v>312</v>
      </c>
      <c r="C148" s="180"/>
      <c r="D148" s="555">
        <v>341</v>
      </c>
      <c r="E148" s="555">
        <v>244</v>
      </c>
      <c r="F148" s="557" t="s">
        <v>268</v>
      </c>
      <c r="G148" s="557"/>
      <c r="H148" s="557"/>
      <c r="I148" s="557"/>
      <c r="J148" s="557"/>
      <c r="K148" s="557"/>
      <c r="L148" s="557"/>
      <c r="M148" s="557"/>
      <c r="N148" s="557"/>
      <c r="O148" s="557"/>
      <c r="P148" s="557"/>
      <c r="Q148" s="557"/>
      <c r="R148" s="557"/>
      <c r="S148" s="550">
        <f>M150</f>
        <v>5200</v>
      </c>
      <c r="T148" s="550">
        <f>M151</f>
        <v>5400</v>
      </c>
      <c r="U148" s="550">
        <f>M152</f>
        <v>5700</v>
      </c>
      <c r="V148" s="64"/>
      <c r="W148" s="161" t="s">
        <v>313</v>
      </c>
    </row>
    <row r="149" spans="1:23" ht="15" customHeight="1" outlineLevel="1" x14ac:dyDescent="0.25">
      <c r="A149" s="383"/>
      <c r="B149" s="554"/>
      <c r="C149" s="180"/>
      <c r="D149" s="556"/>
      <c r="E149" s="560"/>
      <c r="F149" s="181"/>
      <c r="G149" s="182">
        <v>64</v>
      </c>
      <c r="H149" s="183" t="s">
        <v>78</v>
      </c>
      <c r="I149" s="182">
        <f>ROUNDUP((5172.48/64),2)</f>
        <v>80.819999999999993</v>
      </c>
      <c r="J149" s="183" t="s">
        <v>41</v>
      </c>
      <c r="K149" s="182">
        <f>ROUND((G149*I149),2)</f>
        <v>5172.4799999999996</v>
      </c>
      <c r="L149" s="183" t="s">
        <v>37</v>
      </c>
      <c r="M149" s="183"/>
      <c r="N149" s="183"/>
      <c r="O149" s="183"/>
      <c r="P149" s="183"/>
      <c r="Q149" s="183"/>
      <c r="R149" s="188"/>
      <c r="S149" s="550"/>
      <c r="T149" s="550"/>
      <c r="U149" s="550"/>
      <c r="V149" s="64"/>
      <c r="W149" s="161"/>
    </row>
    <row r="150" spans="1:23" ht="15" x14ac:dyDescent="0.25">
      <c r="A150" s="383"/>
      <c r="B150" s="554"/>
      <c r="C150" s="180"/>
      <c r="D150" s="556"/>
      <c r="E150" s="560"/>
      <c r="F150" s="187" t="s">
        <v>151</v>
      </c>
      <c r="G150" s="182">
        <v>64</v>
      </c>
      <c r="H150" s="188" t="s">
        <v>294</v>
      </c>
      <c r="I150" s="189">
        <f>ROUNDUP(I149*(1.04-1.04+1),2)</f>
        <v>80.819999999999993</v>
      </c>
      <c r="J150" s="183" t="s">
        <v>41</v>
      </c>
      <c r="K150" s="182">
        <f>G150*I150</f>
        <v>5172.4799999999996</v>
      </c>
      <c r="L150" s="183" t="s">
        <v>41</v>
      </c>
      <c r="M150" s="190">
        <f>ROUNDUP((K150),-2)</f>
        <v>5200</v>
      </c>
      <c r="N150" s="191" t="s">
        <v>37</v>
      </c>
      <c r="O150" s="190"/>
      <c r="P150" s="192"/>
      <c r="Q150" s="192"/>
      <c r="R150" s="192"/>
      <c r="S150" s="550"/>
      <c r="T150" s="550"/>
      <c r="U150" s="550"/>
      <c r="V150" s="64"/>
      <c r="W150" s="161" t="str">
        <f>""&amp;TEXT(G150,"0,0")&amp;" шт. х "&amp;TEXT(ROUND((K150/G150),2),"0,00")&amp;" руб. = "&amp;TEXT(ROUND((G150*(ROUND((K150/G150),2))),2),"0 000,00")&amp;" руб. = "&amp;TEXT(M150,"0 000,00")&amp;" руб."</f>
        <v>64,0 шт. х 80,82 руб. = 5 172,48 руб. = 5 200,00 руб.</v>
      </c>
    </row>
    <row r="151" spans="1:23" ht="15" x14ac:dyDescent="0.25">
      <c r="A151" s="383"/>
      <c r="B151" s="554"/>
      <c r="C151" s="180"/>
      <c r="D151" s="556"/>
      <c r="E151" s="560"/>
      <c r="F151" s="187" t="s">
        <v>193</v>
      </c>
      <c r="G151" s="182">
        <v>64</v>
      </c>
      <c r="H151" s="183" t="str">
        <f>H150</f>
        <v>шт. х средняя цена с индексом потребительских цен</v>
      </c>
      <c r="I151" s="189">
        <f>ROUNDUP(I150*(1.041),2)</f>
        <v>84.14</v>
      </c>
      <c r="J151" s="183" t="s">
        <v>41</v>
      </c>
      <c r="K151" s="182">
        <f t="shared" ref="K151:K152" si="33">G151*I151</f>
        <v>5384.96</v>
      </c>
      <c r="L151" s="183" t="s">
        <v>41</v>
      </c>
      <c r="M151" s="190">
        <f>ROUNDUP((K151),-2)</f>
        <v>5400</v>
      </c>
      <c r="N151" s="191" t="s">
        <v>37</v>
      </c>
      <c r="O151" s="190"/>
      <c r="P151" s="192"/>
      <c r="Q151" s="192"/>
      <c r="R151" s="192"/>
      <c r="S151" s="550"/>
      <c r="T151" s="550"/>
      <c r="U151" s="550"/>
      <c r="V151" s="64"/>
      <c r="W151" s="161" t="str">
        <f>""&amp;TEXT(G151,"0,0")&amp;" шт. х "&amp;TEXT(ROUND((K151/G151),2),"0,00")&amp;" руб. = "&amp;TEXT(ROUND((G151*(ROUND((K151/G151),2))),2),"0 000,00")&amp;" руб. = "&amp;TEXT(M151,"0 000,00")&amp;" руб."</f>
        <v>64,0 шт. х 84,14 руб. = 5 384,96 руб. = 5 400,00 руб.</v>
      </c>
    </row>
    <row r="152" spans="1:23" ht="15" x14ac:dyDescent="0.25">
      <c r="A152" s="383"/>
      <c r="B152" s="554"/>
      <c r="C152" s="180"/>
      <c r="D152" s="556"/>
      <c r="E152" s="560"/>
      <c r="F152" s="187" t="s">
        <v>226</v>
      </c>
      <c r="G152" s="182">
        <v>64</v>
      </c>
      <c r="H152" s="183" t="str">
        <f>H150</f>
        <v>шт. х средняя цена с индексом потребительских цен</v>
      </c>
      <c r="I152" s="189">
        <f>ROUNDUP(I151*(1.041),2)</f>
        <v>87.59</v>
      </c>
      <c r="J152" s="183" t="s">
        <v>41</v>
      </c>
      <c r="K152" s="182">
        <f t="shared" si="33"/>
        <v>5605.76</v>
      </c>
      <c r="L152" s="183" t="s">
        <v>41</v>
      </c>
      <c r="M152" s="190">
        <f>ROUNDUP((K152),-2)</f>
        <v>5700</v>
      </c>
      <c r="N152" s="191" t="s">
        <v>37</v>
      </c>
      <c r="O152" s="190"/>
      <c r="P152" s="192"/>
      <c r="Q152" s="192"/>
      <c r="R152" s="192"/>
      <c r="S152" s="551"/>
      <c r="T152" s="551"/>
      <c r="U152" s="551"/>
      <c r="V152" s="64"/>
      <c r="W152" s="161" t="str">
        <f>""&amp;TEXT(G152,"0,0")&amp;" шт. х "&amp;TEXT(ROUND((K152/G152),2),"0,00")&amp;" руб. = "&amp;TEXT(ROUND((G152*(ROUND((K152/G152),2))),2),"0 000,00")&amp;" руб. = "&amp;TEXT(M152,"0 000,00")&amp;" руб."</f>
        <v>64,0 шт. х 87,59 руб. = 5 605,76 руб. = 5 700,00 руб.</v>
      </c>
    </row>
    <row r="153" spans="1:23" ht="90" x14ac:dyDescent="0.25">
      <c r="A153" s="383" t="s">
        <v>314</v>
      </c>
      <c r="B153" s="553" t="s">
        <v>315</v>
      </c>
      <c r="C153" s="180"/>
      <c r="D153" s="555">
        <v>341</v>
      </c>
      <c r="E153" s="555">
        <v>244</v>
      </c>
      <c r="F153" s="557" t="s">
        <v>268</v>
      </c>
      <c r="G153" s="557"/>
      <c r="H153" s="557"/>
      <c r="I153" s="557"/>
      <c r="J153" s="557"/>
      <c r="K153" s="557"/>
      <c r="L153" s="557"/>
      <c r="M153" s="557"/>
      <c r="N153" s="557"/>
      <c r="O153" s="557"/>
      <c r="P153" s="557"/>
      <c r="Q153" s="557"/>
      <c r="R153" s="557"/>
      <c r="S153" s="550">
        <f>M155</f>
        <v>5700</v>
      </c>
      <c r="T153" s="550">
        <f>M156</f>
        <v>5900</v>
      </c>
      <c r="U153" s="550">
        <f>M157</f>
        <v>6100</v>
      </c>
      <c r="V153" s="64"/>
      <c r="W153" s="161" t="s">
        <v>316</v>
      </c>
    </row>
    <row r="154" spans="1:23" ht="15" customHeight="1" outlineLevel="1" x14ac:dyDescent="0.25">
      <c r="A154" s="383"/>
      <c r="B154" s="554"/>
      <c r="C154" s="180"/>
      <c r="D154" s="556"/>
      <c r="E154" s="560"/>
      <c r="F154" s="181"/>
      <c r="G154" s="182">
        <v>64</v>
      </c>
      <c r="H154" s="183" t="s">
        <v>78</v>
      </c>
      <c r="I154" s="182">
        <f>ROUNDUP((5610.88/64),2)</f>
        <v>87.67</v>
      </c>
      <c r="J154" s="183" t="s">
        <v>41</v>
      </c>
      <c r="K154" s="182">
        <f>ROUND((G154*I154),2)</f>
        <v>5610.88</v>
      </c>
      <c r="L154" s="183" t="s">
        <v>37</v>
      </c>
      <c r="M154" s="183"/>
      <c r="N154" s="183"/>
      <c r="O154" s="183"/>
      <c r="P154" s="183"/>
      <c r="Q154" s="183"/>
      <c r="R154" s="188"/>
      <c r="S154" s="550"/>
      <c r="T154" s="550"/>
      <c r="U154" s="550"/>
      <c r="V154" s="64"/>
      <c r="W154" s="161"/>
    </row>
    <row r="155" spans="1:23" ht="15" x14ac:dyDescent="0.25">
      <c r="A155" s="383"/>
      <c r="B155" s="554"/>
      <c r="C155" s="180"/>
      <c r="D155" s="556"/>
      <c r="E155" s="560"/>
      <c r="F155" s="187" t="s">
        <v>151</v>
      </c>
      <c r="G155" s="182">
        <v>64</v>
      </c>
      <c r="H155" s="188" t="s">
        <v>294</v>
      </c>
      <c r="I155" s="189">
        <f>ROUNDUP(I154*(1.04-1.04+1),2)</f>
        <v>87.67</v>
      </c>
      <c r="J155" s="183" t="s">
        <v>41</v>
      </c>
      <c r="K155" s="182">
        <f>G155*I155</f>
        <v>5610.88</v>
      </c>
      <c r="L155" s="183" t="s">
        <v>41</v>
      </c>
      <c r="M155" s="190">
        <f>ROUNDUP((K155),-2)</f>
        <v>5700</v>
      </c>
      <c r="N155" s="191" t="s">
        <v>37</v>
      </c>
      <c r="O155" s="190"/>
      <c r="P155" s="192"/>
      <c r="Q155" s="192"/>
      <c r="R155" s="192"/>
      <c r="S155" s="550"/>
      <c r="T155" s="550"/>
      <c r="U155" s="550"/>
      <c r="V155" s="64"/>
      <c r="W155" s="161" t="str">
        <f>""&amp;TEXT(G155,"0,0")&amp;" шт. х "&amp;TEXT(ROUND((K155/G155),2),"0,00")&amp;" руб. = "&amp;TEXT(ROUND((G155*(ROUND((K155/G155),2))),2),"0 000,00")&amp;" руб. = "&amp;TEXT(M155,"0 000,00")&amp;" руб."</f>
        <v>64,0 шт. х 87,67 руб. = 5 610,88 руб. = 5 700,00 руб.</v>
      </c>
    </row>
    <row r="156" spans="1:23" ht="15" x14ac:dyDescent="0.25">
      <c r="A156" s="383"/>
      <c r="B156" s="554"/>
      <c r="C156" s="180"/>
      <c r="D156" s="556"/>
      <c r="E156" s="560"/>
      <c r="F156" s="187" t="s">
        <v>193</v>
      </c>
      <c r="G156" s="182">
        <v>64</v>
      </c>
      <c r="H156" s="183" t="str">
        <f>H155</f>
        <v>шт. х средняя цена с индексом потребительских цен</v>
      </c>
      <c r="I156" s="189">
        <f>ROUNDUP(I155*(1.041),2)</f>
        <v>91.27000000000001</v>
      </c>
      <c r="J156" s="183" t="s">
        <v>41</v>
      </c>
      <c r="K156" s="182">
        <f t="shared" ref="K156:K157" si="34">G156*I156</f>
        <v>5841.2800000000007</v>
      </c>
      <c r="L156" s="183" t="s">
        <v>41</v>
      </c>
      <c r="M156" s="190">
        <f>ROUNDUP((K156),-2)</f>
        <v>5900</v>
      </c>
      <c r="N156" s="191" t="s">
        <v>37</v>
      </c>
      <c r="O156" s="190"/>
      <c r="P156" s="192"/>
      <c r="Q156" s="192"/>
      <c r="R156" s="192"/>
      <c r="S156" s="550"/>
      <c r="T156" s="550"/>
      <c r="U156" s="550"/>
      <c r="V156" s="64"/>
      <c r="W156" s="161" t="str">
        <f>""&amp;TEXT(G156,"0,0")&amp;" шт. х "&amp;TEXT(ROUND((K156/G156),2),"0,00")&amp;" руб. = "&amp;TEXT(ROUND((G156*(ROUND((K156/G156),2))),2),"0 000,00")&amp;" руб. = "&amp;TEXT(M156,"0 000,00")&amp;" руб."</f>
        <v>64,0 шт. х 91,27 руб. = 5 841,28 руб. = 5 900,00 руб.</v>
      </c>
    </row>
    <row r="157" spans="1:23" ht="15" x14ac:dyDescent="0.25">
      <c r="A157" s="383"/>
      <c r="B157" s="554"/>
      <c r="C157" s="180"/>
      <c r="D157" s="556"/>
      <c r="E157" s="560"/>
      <c r="F157" s="187" t="s">
        <v>226</v>
      </c>
      <c r="G157" s="182">
        <v>64</v>
      </c>
      <c r="H157" s="183" t="str">
        <f>H155</f>
        <v>шт. х средняя цена с индексом потребительских цен</v>
      </c>
      <c r="I157" s="189">
        <f>ROUNDUP(I156*(1.041),2)</f>
        <v>95.02000000000001</v>
      </c>
      <c r="J157" s="183" t="s">
        <v>41</v>
      </c>
      <c r="K157" s="182">
        <f t="shared" si="34"/>
        <v>6081.2800000000007</v>
      </c>
      <c r="L157" s="183" t="s">
        <v>41</v>
      </c>
      <c r="M157" s="190">
        <f>ROUNDUP((K157),-2)</f>
        <v>6100</v>
      </c>
      <c r="N157" s="191" t="s">
        <v>37</v>
      </c>
      <c r="O157" s="190"/>
      <c r="P157" s="192"/>
      <c r="Q157" s="192"/>
      <c r="R157" s="192"/>
      <c r="S157" s="551"/>
      <c r="T157" s="551"/>
      <c r="U157" s="551"/>
      <c r="V157" s="64"/>
      <c r="W157" s="161" t="str">
        <f>""&amp;TEXT(G157,"0,0")&amp;" шт. х "&amp;TEXT(ROUND((K157/G157),2),"0,00")&amp;" руб. = "&amp;TEXT(ROUND((G157*(ROUND((K157/G157),2))),2),"0 000,00")&amp;" руб. = "&amp;TEXT(M157,"0 000,00")&amp;" руб."</f>
        <v>64,0 шт. х 95,02 руб. = 6 081,28 руб. = 6 100,00 руб.</v>
      </c>
    </row>
    <row r="158" spans="1:23" ht="90" collapsed="1" x14ac:dyDescent="0.25">
      <c r="A158" s="383" t="s">
        <v>317</v>
      </c>
      <c r="B158" s="553" t="s">
        <v>318</v>
      </c>
      <c r="C158" s="180"/>
      <c r="D158" s="555">
        <v>346</v>
      </c>
      <c r="E158" s="555">
        <v>244</v>
      </c>
      <c r="F158" s="557" t="s">
        <v>268</v>
      </c>
      <c r="G158" s="557"/>
      <c r="H158" s="557"/>
      <c r="I158" s="557"/>
      <c r="J158" s="557"/>
      <c r="K158" s="557"/>
      <c r="L158" s="557"/>
      <c r="M158" s="557"/>
      <c r="N158" s="557"/>
      <c r="O158" s="557"/>
      <c r="P158" s="557"/>
      <c r="Q158" s="557"/>
      <c r="R158" s="557"/>
      <c r="S158" s="550">
        <f>M160</f>
        <v>14400</v>
      </c>
      <c r="T158" s="550">
        <f>M161</f>
        <v>15000</v>
      </c>
      <c r="U158" s="550">
        <f>M162</f>
        <v>15600</v>
      </c>
      <c r="V158" s="64"/>
      <c r="W158" s="161" t="s">
        <v>319</v>
      </c>
    </row>
    <row r="159" spans="1:23" ht="15" hidden="1" outlineLevel="1" x14ac:dyDescent="0.25">
      <c r="A159" s="383"/>
      <c r="B159" s="554"/>
      <c r="C159" s="180"/>
      <c r="D159" s="556"/>
      <c r="E159" s="560"/>
      <c r="F159" s="181"/>
      <c r="G159" s="182">
        <v>20</v>
      </c>
      <c r="H159" s="183" t="s">
        <v>78</v>
      </c>
      <c r="I159" s="182">
        <f>ROUNDUP((14358.6/20),2)</f>
        <v>717.93</v>
      </c>
      <c r="J159" s="183" t="s">
        <v>41</v>
      </c>
      <c r="K159" s="182">
        <f>ROUND((G159*I159),2)</f>
        <v>14358.6</v>
      </c>
      <c r="L159" s="183" t="s">
        <v>37</v>
      </c>
      <c r="M159" s="183"/>
      <c r="N159" s="183"/>
      <c r="O159" s="183"/>
      <c r="P159" s="183"/>
      <c r="Q159" s="183"/>
      <c r="R159" s="188"/>
      <c r="S159" s="550"/>
      <c r="T159" s="550"/>
      <c r="U159" s="550"/>
      <c r="V159" s="64"/>
      <c r="W159" s="161"/>
    </row>
    <row r="160" spans="1:23" ht="15" x14ac:dyDescent="0.25">
      <c r="A160" s="383"/>
      <c r="B160" s="554"/>
      <c r="C160" s="180"/>
      <c r="D160" s="556"/>
      <c r="E160" s="560"/>
      <c r="F160" s="187" t="s">
        <v>151</v>
      </c>
      <c r="G160" s="182">
        <v>20</v>
      </c>
      <c r="H160" s="188" t="s">
        <v>294</v>
      </c>
      <c r="I160" s="189">
        <f>ROUNDUP(I159*(1.04-1.04+1),2)</f>
        <v>717.93</v>
      </c>
      <c r="J160" s="183" t="s">
        <v>41</v>
      </c>
      <c r="K160" s="182">
        <f>G160*I160</f>
        <v>14358.599999999999</v>
      </c>
      <c r="L160" s="183" t="s">
        <v>41</v>
      </c>
      <c r="M160" s="190">
        <f>ROUNDUP((K160),-2)</f>
        <v>14400</v>
      </c>
      <c r="N160" s="191" t="s">
        <v>37</v>
      </c>
      <c r="O160" s="190"/>
      <c r="P160" s="192"/>
      <c r="Q160" s="192"/>
      <c r="R160" s="192"/>
      <c r="S160" s="550"/>
      <c r="T160" s="550"/>
      <c r="U160" s="550"/>
      <c r="V160" s="64"/>
      <c r="W160" s="161" t="str">
        <f>""&amp;TEXT(G160,"0,0")&amp;" шт. х "&amp;TEXT(ROUND((K160/G160),2),"0,00")&amp;" руб. = "&amp;TEXT(ROUND((G160*(ROUND((K160/G160),2))),2),"0 000,00")&amp;" руб. = "&amp;TEXT(M160,"0 000,00")&amp;" руб."</f>
        <v>20,0 шт. х 717,93 руб. = 14 358,60 руб. = 14 400,00 руб.</v>
      </c>
    </row>
    <row r="161" spans="1:23" ht="15" x14ac:dyDescent="0.25">
      <c r="A161" s="383"/>
      <c r="B161" s="554"/>
      <c r="C161" s="180"/>
      <c r="D161" s="556"/>
      <c r="E161" s="560"/>
      <c r="F161" s="187" t="s">
        <v>193</v>
      </c>
      <c r="G161" s="182">
        <v>20</v>
      </c>
      <c r="H161" s="183" t="str">
        <f>H160</f>
        <v>шт. х средняя цена с индексом потребительских цен</v>
      </c>
      <c r="I161" s="189">
        <f>ROUNDUP(I160*(1.041),2)</f>
        <v>747.37</v>
      </c>
      <c r="J161" s="183" t="s">
        <v>41</v>
      </c>
      <c r="K161" s="182">
        <f t="shared" ref="K161:K162" si="35">G161*I161</f>
        <v>14947.4</v>
      </c>
      <c r="L161" s="183" t="s">
        <v>41</v>
      </c>
      <c r="M161" s="190">
        <f>ROUNDUP((K161),-2)</f>
        <v>15000</v>
      </c>
      <c r="N161" s="191" t="s">
        <v>37</v>
      </c>
      <c r="O161" s="190"/>
      <c r="P161" s="192"/>
      <c r="Q161" s="192"/>
      <c r="R161" s="192"/>
      <c r="S161" s="550"/>
      <c r="T161" s="550"/>
      <c r="U161" s="550"/>
      <c r="V161" s="64"/>
      <c r="W161" s="161" t="str">
        <f t="shared" ref="W161:W162" si="36">""&amp;TEXT(G161,"0,0")&amp;" шт. х "&amp;TEXT(ROUND((K161/G161),2),"0,00")&amp;" руб. = "&amp;TEXT(ROUND((G161*(ROUND((K161/G161),2))),2),"0 000,00")&amp;" руб. = "&amp;TEXT(M161,"0 000,00")&amp;" руб."</f>
        <v>20,0 шт. х 747,37 руб. = 14 947,40 руб. = 15 000,00 руб.</v>
      </c>
    </row>
    <row r="162" spans="1:23" ht="15" x14ac:dyDescent="0.25">
      <c r="A162" s="383"/>
      <c r="B162" s="554"/>
      <c r="C162" s="180"/>
      <c r="D162" s="556"/>
      <c r="E162" s="560"/>
      <c r="F162" s="187" t="s">
        <v>226</v>
      </c>
      <c r="G162" s="182">
        <v>20</v>
      </c>
      <c r="H162" s="183" t="str">
        <f>H160</f>
        <v>шт. х средняя цена с индексом потребительских цен</v>
      </c>
      <c r="I162" s="189">
        <f>ROUNDUP(I161*(1.041),2)</f>
        <v>778.02</v>
      </c>
      <c r="J162" s="183" t="s">
        <v>41</v>
      </c>
      <c r="K162" s="182">
        <f t="shared" si="35"/>
        <v>15560.4</v>
      </c>
      <c r="L162" s="183" t="s">
        <v>41</v>
      </c>
      <c r="M162" s="190">
        <f>ROUNDUP((K162),-2)</f>
        <v>15600</v>
      </c>
      <c r="N162" s="191" t="s">
        <v>37</v>
      </c>
      <c r="O162" s="190"/>
      <c r="P162" s="192"/>
      <c r="Q162" s="192"/>
      <c r="R162" s="192"/>
      <c r="S162" s="551"/>
      <c r="T162" s="551"/>
      <c r="U162" s="551"/>
      <c r="V162" s="64"/>
      <c r="W162" s="161" t="str">
        <f t="shared" si="36"/>
        <v>20,0 шт. х 778,02 руб. = 15 560,40 руб. = 15 600,00 руб.</v>
      </c>
    </row>
    <row r="163" spans="1:23" ht="90" collapsed="1" x14ac:dyDescent="0.25">
      <c r="A163" s="383" t="s">
        <v>320</v>
      </c>
      <c r="B163" s="553" t="s">
        <v>214</v>
      </c>
      <c r="C163" s="180"/>
      <c r="D163" s="555">
        <v>346</v>
      </c>
      <c r="E163" s="555">
        <v>244</v>
      </c>
      <c r="F163" s="557" t="s">
        <v>237</v>
      </c>
      <c r="G163" s="557"/>
      <c r="H163" s="557"/>
      <c r="I163" s="557"/>
      <c r="J163" s="557"/>
      <c r="K163" s="557"/>
      <c r="L163" s="557"/>
      <c r="M163" s="557"/>
      <c r="N163" s="557"/>
      <c r="O163" s="557"/>
      <c r="P163" s="557"/>
      <c r="Q163" s="557"/>
      <c r="R163" s="557"/>
      <c r="S163" s="550">
        <f>M165</f>
        <v>607500</v>
      </c>
      <c r="T163" s="550">
        <f>M166</f>
        <v>632500</v>
      </c>
      <c r="U163" s="550">
        <f>M167</f>
        <v>658600</v>
      </c>
      <c r="V163" s="64"/>
      <c r="W163" s="161" t="s">
        <v>215</v>
      </c>
    </row>
    <row r="164" spans="1:23" ht="15" hidden="1" outlineLevel="1" x14ac:dyDescent="0.25">
      <c r="A164" s="383"/>
      <c r="B164" s="554"/>
      <c r="C164" s="180"/>
      <c r="D164" s="556"/>
      <c r="E164" s="560"/>
      <c r="F164" s="181"/>
      <c r="G164" s="182">
        <v>13500</v>
      </c>
      <c r="H164" s="183" t="s">
        <v>78</v>
      </c>
      <c r="I164" s="182">
        <f>ROUNDUP((43.26),2)</f>
        <v>43.26</v>
      </c>
      <c r="J164" s="183" t="s">
        <v>41</v>
      </c>
      <c r="K164" s="182">
        <f>ROUND((G164*I164),2)</f>
        <v>584010</v>
      </c>
      <c r="L164" s="183" t="s">
        <v>37</v>
      </c>
      <c r="M164" s="183"/>
      <c r="N164" s="183"/>
      <c r="O164" s="183"/>
      <c r="P164" s="183"/>
      <c r="Q164" s="183"/>
      <c r="R164" s="188"/>
      <c r="S164" s="550"/>
      <c r="T164" s="550"/>
      <c r="U164" s="550"/>
      <c r="V164" s="64"/>
      <c r="W164" s="161"/>
    </row>
    <row r="165" spans="1:23" ht="15" x14ac:dyDescent="0.25">
      <c r="A165" s="383"/>
      <c r="B165" s="554"/>
      <c r="C165" s="180"/>
      <c r="D165" s="556"/>
      <c r="E165" s="560"/>
      <c r="F165" s="187" t="s">
        <v>151</v>
      </c>
      <c r="G165" s="182">
        <v>13500</v>
      </c>
      <c r="H165" s="188" t="s">
        <v>294</v>
      </c>
      <c r="I165" s="189">
        <f>ROUNDUP(I164*(1.04),2)</f>
        <v>45</v>
      </c>
      <c r="J165" s="183" t="s">
        <v>41</v>
      </c>
      <c r="K165" s="182">
        <f>G165*I165</f>
        <v>607500</v>
      </c>
      <c r="L165" s="183" t="s">
        <v>41</v>
      </c>
      <c r="M165" s="190">
        <f>ROUNDUP((K165),-2)</f>
        <v>607500</v>
      </c>
      <c r="N165" s="191" t="s">
        <v>37</v>
      </c>
      <c r="O165" s="190"/>
      <c r="P165" s="192"/>
      <c r="Q165" s="192"/>
      <c r="R165" s="192"/>
      <c r="S165" s="550"/>
      <c r="T165" s="550"/>
      <c r="U165" s="550"/>
      <c r="V165" s="64"/>
      <c r="W165" s="161" t="str">
        <f>""&amp;TEXT(G165,"0,0")&amp;" шт. х "&amp;TEXT(ROUND((K165/G165),2),"0,00")&amp;" руб. = "&amp;TEXT(ROUND((G165*(ROUND((K165/G165),2))),2),"0 000,00")&amp;" руб. = "&amp;TEXT(M165,"0 000,00")&amp;" руб."</f>
        <v>13500,0 шт. х 45,00 руб. = 607 500,00 руб. = 607 500,00 руб.</v>
      </c>
    </row>
    <row r="166" spans="1:23" ht="15" x14ac:dyDescent="0.25">
      <c r="A166" s="383"/>
      <c r="B166" s="554"/>
      <c r="C166" s="180"/>
      <c r="D166" s="556"/>
      <c r="E166" s="560"/>
      <c r="F166" s="187" t="s">
        <v>193</v>
      </c>
      <c r="G166" s="182">
        <v>13500</v>
      </c>
      <c r="H166" s="183" t="str">
        <f>H165</f>
        <v>шт. х средняя цена с индексом потребительских цен</v>
      </c>
      <c r="I166" s="189">
        <f>ROUNDUP(I165*(1.041),2)</f>
        <v>46.85</v>
      </c>
      <c r="J166" s="183" t="s">
        <v>41</v>
      </c>
      <c r="K166" s="182">
        <f t="shared" ref="K166:K167" si="37">G166*I166</f>
        <v>632475</v>
      </c>
      <c r="L166" s="183" t="s">
        <v>41</v>
      </c>
      <c r="M166" s="190">
        <f>ROUNDUP((K166),-2)</f>
        <v>632500</v>
      </c>
      <c r="N166" s="191" t="s">
        <v>37</v>
      </c>
      <c r="O166" s="190"/>
      <c r="P166" s="192"/>
      <c r="Q166" s="192"/>
      <c r="R166" s="192"/>
      <c r="S166" s="550"/>
      <c r="T166" s="550"/>
      <c r="U166" s="550"/>
      <c r="V166" s="64"/>
      <c r="W166" s="161" t="str">
        <f t="shared" ref="W166:W167" si="38">""&amp;TEXT(G166,"0,0")&amp;" шт. х "&amp;TEXT(ROUND((K166/G166),2),"0,00")&amp;" руб. = "&amp;TEXT(ROUND((G166*(ROUND((K166/G166),2))),2),"0 000,00")&amp;" руб. = "&amp;TEXT(M166,"0 000,00")&amp;" руб."</f>
        <v>13500,0 шт. х 46,85 руб. = 632 475,00 руб. = 632 500,00 руб.</v>
      </c>
    </row>
    <row r="167" spans="1:23" ht="15" x14ac:dyDescent="0.25">
      <c r="A167" s="383"/>
      <c r="B167" s="554"/>
      <c r="C167" s="180"/>
      <c r="D167" s="556"/>
      <c r="E167" s="560"/>
      <c r="F167" s="187" t="s">
        <v>226</v>
      </c>
      <c r="G167" s="182">
        <v>13500</v>
      </c>
      <c r="H167" s="183" t="str">
        <f>H165</f>
        <v>шт. х средняя цена с индексом потребительских цен</v>
      </c>
      <c r="I167" s="189">
        <f>ROUNDUP(I166*(1.041),2)</f>
        <v>48.78</v>
      </c>
      <c r="J167" s="183" t="s">
        <v>41</v>
      </c>
      <c r="K167" s="182">
        <f t="shared" si="37"/>
        <v>658530</v>
      </c>
      <c r="L167" s="183" t="s">
        <v>41</v>
      </c>
      <c r="M167" s="190">
        <f>ROUNDUP((K167),-2)</f>
        <v>658600</v>
      </c>
      <c r="N167" s="191" t="s">
        <v>37</v>
      </c>
      <c r="O167" s="190"/>
      <c r="P167" s="192"/>
      <c r="Q167" s="192"/>
      <c r="R167" s="192"/>
      <c r="S167" s="551"/>
      <c r="T167" s="551"/>
      <c r="U167" s="551"/>
      <c r="V167" s="64"/>
      <c r="W167" s="161" t="str">
        <f t="shared" si="38"/>
        <v>13500,0 шт. х 48,78 руб. = 658 530,00 руб. = 658 600,00 руб.</v>
      </c>
    </row>
    <row r="168" spans="1:23" ht="89.25" customHeight="1" x14ac:dyDescent="0.25">
      <c r="A168" s="177" t="s">
        <v>19</v>
      </c>
      <c r="B168" s="157" t="s">
        <v>93</v>
      </c>
      <c r="C168" s="158"/>
      <c r="D168" s="159" t="s">
        <v>35</v>
      </c>
      <c r="E168" s="159" t="s">
        <v>35</v>
      </c>
      <c r="F168" s="538"/>
      <c r="G168" s="539"/>
      <c r="H168" s="539"/>
      <c r="I168" s="539"/>
      <c r="J168" s="539"/>
      <c r="K168" s="539"/>
      <c r="L168" s="539"/>
      <c r="M168" s="539"/>
      <c r="N168" s="539"/>
      <c r="O168" s="539"/>
      <c r="P168" s="539"/>
      <c r="Q168" s="539"/>
      <c r="R168" s="539"/>
      <c r="S168" s="217">
        <f>SUM(S169,S174,S179,S184,S189)</f>
        <v>3287200</v>
      </c>
      <c r="T168" s="217">
        <f t="shared" ref="T168:U168" si="39">SUM(T169,T174,T179,T184,T189)</f>
        <v>3422000</v>
      </c>
      <c r="U168" s="217">
        <f t="shared" si="39"/>
        <v>3562400</v>
      </c>
      <c r="V168" s="158"/>
      <c r="W168" s="161" t="str">
        <f>"Нормативные "&amp;TEXT(B168,"0")&amp;" включают в себя:
нормативные "&amp;TEXT(B169,"0")&amp;";   нормативные "&amp;TEXT(B174,"0")&amp;";
нормативные "&amp;TEXT(B179,"0")&amp;";  нормативные "&amp;TEXT(B184,"0")&amp;";  нормативные "&amp;TEXT(B189,"0")&amp;""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   нормативные затраты на оказание услуг по обучению персонала;
нормативные затраты на оказание нотариальных услуг;  нормативные затраты на оказание услуг по архивной обработке и переплету документов;  нормативные затраты на оказание услуг по составлению архивной описи</v>
      </c>
    </row>
    <row r="169" spans="1:23" ht="90" collapsed="1" x14ac:dyDescent="0.25">
      <c r="A169" s="383" t="s">
        <v>20</v>
      </c>
      <c r="B169" s="553" t="s">
        <v>189</v>
      </c>
      <c r="C169" s="64"/>
      <c r="D169" s="555">
        <v>226</v>
      </c>
      <c r="E169" s="555">
        <v>244</v>
      </c>
      <c r="F169" s="557" t="s">
        <v>268</v>
      </c>
      <c r="G169" s="557"/>
      <c r="H169" s="557"/>
      <c r="I169" s="557"/>
      <c r="J169" s="557"/>
      <c r="K169" s="557"/>
      <c r="L169" s="557"/>
      <c r="M169" s="557"/>
      <c r="N169" s="557"/>
      <c r="O169" s="557"/>
      <c r="P169" s="557"/>
      <c r="Q169" s="557"/>
      <c r="R169" s="557"/>
      <c r="S169" s="550">
        <f>M171</f>
        <v>211600</v>
      </c>
      <c r="T169" s="550">
        <f>M172</f>
        <v>220300</v>
      </c>
      <c r="U169" s="550">
        <f>M173</f>
        <v>229400</v>
      </c>
      <c r="V169" s="64"/>
      <c r="W169" s="161" t="s">
        <v>321</v>
      </c>
    </row>
    <row r="170" spans="1:23" ht="23.25" hidden="1" customHeight="1" outlineLevel="1" x14ac:dyDescent="0.25">
      <c r="A170" s="437"/>
      <c r="B170" s="554"/>
      <c r="C170" s="64"/>
      <c r="D170" s="556"/>
      <c r="E170" s="560"/>
      <c r="F170" s="181"/>
      <c r="G170" s="182">
        <v>46</v>
      </c>
      <c r="H170" s="183" t="s">
        <v>231</v>
      </c>
      <c r="I170" s="182">
        <f>ROUNDUP((211600/46),2)</f>
        <v>4600</v>
      </c>
      <c r="J170" s="183" t="s">
        <v>41</v>
      </c>
      <c r="K170" s="182">
        <f>ROUND((G170*I170),2)</f>
        <v>211600</v>
      </c>
      <c r="L170" s="183" t="s">
        <v>37</v>
      </c>
      <c r="M170" s="183"/>
      <c r="N170" s="183"/>
      <c r="O170" s="183"/>
      <c r="P170" s="183"/>
      <c r="Q170" s="183"/>
      <c r="R170" s="188"/>
      <c r="S170" s="550"/>
      <c r="T170" s="550"/>
      <c r="U170" s="550"/>
      <c r="V170" s="64"/>
      <c r="W170" s="161"/>
    </row>
    <row r="171" spans="1:23" ht="15" x14ac:dyDescent="0.25">
      <c r="A171" s="437"/>
      <c r="B171" s="554"/>
      <c r="C171" s="64"/>
      <c r="D171" s="556"/>
      <c r="E171" s="560"/>
      <c r="F171" s="187" t="s">
        <v>151</v>
      </c>
      <c r="G171" s="182">
        <v>46</v>
      </c>
      <c r="H171" s="188" t="s">
        <v>271</v>
      </c>
      <c r="I171" s="189">
        <f>ROUNDUP(I170*(1.04-1.04+1),2)</f>
        <v>4600</v>
      </c>
      <c r="J171" s="183" t="s">
        <v>41</v>
      </c>
      <c r="K171" s="182">
        <f>G171*I171</f>
        <v>211600</v>
      </c>
      <c r="L171" s="183" t="s">
        <v>41</v>
      </c>
      <c r="M171" s="190">
        <f>ROUNDUP((K171),-2)</f>
        <v>211600</v>
      </c>
      <c r="N171" s="191" t="s">
        <v>37</v>
      </c>
      <c r="O171" s="190"/>
      <c r="P171" s="192"/>
      <c r="Q171" s="192"/>
      <c r="R171" s="192"/>
      <c r="S171" s="550"/>
      <c r="T171" s="550"/>
      <c r="U171" s="550"/>
      <c r="V171" s="64"/>
      <c r="W171" s="161" t="str">
        <f>""&amp;TEXT(G171,"0,0")&amp;" ед. х "&amp;TEXT(ROUND((K171/G171),2),"0,00")&amp;" руб. = "&amp;TEXT(ROUND((G171*(ROUND((K171/G171),2))),2),"0 000,00")&amp;" руб. = "&amp;TEXT(M171,"0 000,00")&amp;" руб."</f>
        <v>46,0 ед. х 4600,00 руб. = 211 600,00 руб. = 211 600,00 руб.</v>
      </c>
    </row>
    <row r="172" spans="1:23" ht="15" x14ac:dyDescent="0.25">
      <c r="A172" s="437"/>
      <c r="B172" s="554"/>
      <c r="C172" s="64"/>
      <c r="D172" s="556"/>
      <c r="E172" s="560"/>
      <c r="F172" s="187" t="s">
        <v>193</v>
      </c>
      <c r="G172" s="182">
        <v>46</v>
      </c>
      <c r="H172" s="183" t="str">
        <f>H171</f>
        <v>ед. х средняя цена с индексом потребительских цен</v>
      </c>
      <c r="I172" s="189">
        <f>ROUNDUP(I171*(1.041),2)</f>
        <v>4788.6000000000004</v>
      </c>
      <c r="J172" s="183" t="s">
        <v>41</v>
      </c>
      <c r="K172" s="182">
        <f t="shared" ref="K172:K173" si="40">G172*I172</f>
        <v>220275.6</v>
      </c>
      <c r="L172" s="183" t="s">
        <v>41</v>
      </c>
      <c r="M172" s="190">
        <f>ROUNDUP((K172),-2)</f>
        <v>220300</v>
      </c>
      <c r="N172" s="191" t="s">
        <v>37</v>
      </c>
      <c r="O172" s="190"/>
      <c r="P172" s="192"/>
      <c r="Q172" s="192"/>
      <c r="R172" s="192"/>
      <c r="S172" s="550"/>
      <c r="T172" s="550"/>
      <c r="U172" s="550"/>
      <c r="V172" s="64"/>
      <c r="W172" s="161" t="str">
        <f t="shared" ref="W172:W173" si="41">""&amp;TEXT(G172,"0,0")&amp;" ед. х "&amp;TEXT(ROUND((K172/G172),2),"0,00")&amp;" руб. = "&amp;TEXT(ROUND((G172*(ROUND((K172/G172),2))),2),"0 000,00")&amp;" руб. = "&amp;TEXT(M172,"0 000,00")&amp;" руб."</f>
        <v>46,0 ед. х 4788,60 руб. = 220 275,60 руб. = 220 300,00 руб.</v>
      </c>
    </row>
    <row r="173" spans="1:23" ht="15" x14ac:dyDescent="0.25">
      <c r="A173" s="437"/>
      <c r="B173" s="554"/>
      <c r="C173" s="64"/>
      <c r="D173" s="556"/>
      <c r="E173" s="560"/>
      <c r="F173" s="187" t="s">
        <v>226</v>
      </c>
      <c r="G173" s="182">
        <v>46</v>
      </c>
      <c r="H173" s="183" t="str">
        <f>H171</f>
        <v>ед. х средняя цена с индексом потребительских цен</v>
      </c>
      <c r="I173" s="189">
        <f>ROUNDUP(I172*(1.041),2)</f>
        <v>4984.9400000000005</v>
      </c>
      <c r="J173" s="183" t="s">
        <v>41</v>
      </c>
      <c r="K173" s="182">
        <f t="shared" si="40"/>
        <v>229307.24000000002</v>
      </c>
      <c r="L173" s="183" t="s">
        <v>41</v>
      </c>
      <c r="M173" s="190">
        <f>ROUNDUP((K173),-2)</f>
        <v>229400</v>
      </c>
      <c r="N173" s="191" t="s">
        <v>37</v>
      </c>
      <c r="O173" s="190"/>
      <c r="P173" s="192"/>
      <c r="Q173" s="192"/>
      <c r="R173" s="192"/>
      <c r="S173" s="551"/>
      <c r="T173" s="551"/>
      <c r="U173" s="551"/>
      <c r="V173" s="64"/>
      <c r="W173" s="161" t="str">
        <f t="shared" si="41"/>
        <v>46,0 ед. х 4984,94 руб. = 229 307,24 руб. = 229 400,00 руб.</v>
      </c>
    </row>
    <row r="174" spans="1:23" ht="105" x14ac:dyDescent="0.25">
      <c r="A174" s="602" t="s">
        <v>21</v>
      </c>
      <c r="B174" s="553" t="s">
        <v>322</v>
      </c>
      <c r="C174" s="64"/>
      <c r="D174" s="555">
        <v>226</v>
      </c>
      <c r="E174" s="555">
        <v>244</v>
      </c>
      <c r="F174" s="557" t="s">
        <v>268</v>
      </c>
      <c r="G174" s="557"/>
      <c r="H174" s="557"/>
      <c r="I174" s="557"/>
      <c r="J174" s="557"/>
      <c r="K174" s="557"/>
      <c r="L174" s="557"/>
      <c r="M174" s="557"/>
      <c r="N174" s="557"/>
      <c r="O174" s="557"/>
      <c r="P174" s="557"/>
      <c r="Q174" s="557"/>
      <c r="R174" s="557"/>
      <c r="S174" s="550">
        <f>O176</f>
        <v>1023000</v>
      </c>
      <c r="T174" s="550">
        <f>O177</f>
        <v>1065000</v>
      </c>
      <c r="U174" s="550">
        <f>O178</f>
        <v>1108700</v>
      </c>
      <c r="V174" s="64"/>
      <c r="W174" s="161" t="s">
        <v>323</v>
      </c>
    </row>
    <row r="175" spans="1:23" ht="27.75" customHeight="1" outlineLevel="1" x14ac:dyDescent="0.25">
      <c r="A175" s="602"/>
      <c r="B175" s="554"/>
      <c r="C175" s="64"/>
      <c r="D175" s="556"/>
      <c r="E175" s="556"/>
      <c r="F175" s="181"/>
      <c r="G175" s="182">
        <v>30</v>
      </c>
      <c r="H175" s="183" t="s">
        <v>66</v>
      </c>
      <c r="I175" s="182">
        <v>1</v>
      </c>
      <c r="J175" s="183" t="s">
        <v>73</v>
      </c>
      <c r="K175" s="182">
        <f>ROUNDUP(((1023000)/30/1),2)</f>
        <v>34100</v>
      </c>
      <c r="L175" s="183" t="s">
        <v>41</v>
      </c>
      <c r="M175" s="182">
        <f>G175*I175*K175</f>
        <v>1023000</v>
      </c>
      <c r="N175" s="183" t="s">
        <v>37</v>
      </c>
      <c r="O175" s="184"/>
      <c r="P175" s="185"/>
      <c r="Q175" s="186"/>
      <c r="R175" s="181"/>
      <c r="S175" s="550"/>
      <c r="T175" s="550"/>
      <c r="U175" s="550"/>
      <c r="V175" s="64"/>
      <c r="W175" s="161"/>
    </row>
    <row r="176" spans="1:23" ht="15" x14ac:dyDescent="0.25">
      <c r="A176" s="602"/>
      <c r="B176" s="554"/>
      <c r="C176" s="64"/>
      <c r="D176" s="556"/>
      <c r="E176" s="556"/>
      <c r="F176" s="187" t="s">
        <v>151</v>
      </c>
      <c r="G176" s="182">
        <v>30</v>
      </c>
      <c r="H176" s="188" t="s">
        <v>66</v>
      </c>
      <c r="I176" s="182">
        <v>1</v>
      </c>
      <c r="J176" s="188" t="s">
        <v>283</v>
      </c>
      <c r="K176" s="189">
        <f>ROUNDUP(K175*(1.04-1.04+1),2)</f>
        <v>34100</v>
      </c>
      <c r="L176" s="183" t="s">
        <v>41</v>
      </c>
      <c r="M176" s="182">
        <f>G176*I176*K176</f>
        <v>1023000</v>
      </c>
      <c r="N176" s="183" t="s">
        <v>41</v>
      </c>
      <c r="O176" s="190">
        <f>ROUNDUP((M176),-2)</f>
        <v>1023000</v>
      </c>
      <c r="P176" s="191" t="s">
        <v>37</v>
      </c>
      <c r="Q176" s="192"/>
      <c r="R176" s="181"/>
      <c r="S176" s="550"/>
      <c r="T176" s="550"/>
      <c r="U176" s="550"/>
      <c r="V176" s="64"/>
      <c r="W176" s="161" t="str">
        <f>""&amp;TEXT(G176,"0,0")&amp;" чел. х "&amp;TEXT(I176,"0,0")&amp;" раз х "&amp;TEXT(ROUND((M176/I176/G176),2),"0,00")&amp;" руб. = "&amp;TEXT(ROUND((G176*I176*(ROUND((M176/I176/G176),2))),2),"0 000,00")&amp;" руб. = "&amp;TEXT(O176,"0 000,00")&amp;" руб."</f>
        <v>30,0 чел. х 1,0 раз х 34100,00 руб. = 1 023 000,00 руб. = 1 023 000,00 руб.</v>
      </c>
    </row>
    <row r="177" spans="1:23" ht="15" x14ac:dyDescent="0.25">
      <c r="A177" s="602"/>
      <c r="B177" s="554"/>
      <c r="C177" s="64"/>
      <c r="D177" s="556"/>
      <c r="E177" s="556"/>
      <c r="F177" s="187" t="s">
        <v>193</v>
      </c>
      <c r="G177" s="182">
        <v>30</v>
      </c>
      <c r="H177" s="183" t="str">
        <f>H176</f>
        <v>чел. х</v>
      </c>
      <c r="I177" s="182">
        <v>1</v>
      </c>
      <c r="J177" s="183" t="str">
        <f>J176</f>
        <v>раз х средняя цена с индексом потребительских цен</v>
      </c>
      <c r="K177" s="189">
        <f>ROUNDUP(K176*(1.041),2)</f>
        <v>35498.1</v>
      </c>
      <c r="L177" s="183" t="s">
        <v>41</v>
      </c>
      <c r="M177" s="182">
        <f>G177*I177*K177</f>
        <v>1064943</v>
      </c>
      <c r="N177" s="183" t="s">
        <v>41</v>
      </c>
      <c r="O177" s="190">
        <f>ROUNDUP((M177),-2)</f>
        <v>1065000</v>
      </c>
      <c r="P177" s="191" t="s">
        <v>37</v>
      </c>
      <c r="Q177" s="192"/>
      <c r="R177" s="181"/>
      <c r="S177" s="550"/>
      <c r="T177" s="550"/>
      <c r="U177" s="550"/>
      <c r="V177" s="64"/>
      <c r="W177" s="161" t="str">
        <f t="shared" ref="W177:W178" si="42">""&amp;TEXT(G177,"0,0")&amp;" чел. х "&amp;TEXT(I177,"0,0")&amp;" раз х "&amp;TEXT(ROUND((M177/I177/G177),2),"0,00")&amp;" руб. = "&amp;TEXT(ROUND((G177*I177*(ROUND((M177/I177/G177),2))),2),"0 000,00")&amp;" руб. = "&amp;TEXT(O177,"0 000,00")&amp;" руб."</f>
        <v>30,0 чел. х 1,0 раз х 35498,10 руб. = 1 064 943,00 руб. = 1 065 000,00 руб.</v>
      </c>
    </row>
    <row r="178" spans="1:23" ht="15" x14ac:dyDescent="0.25">
      <c r="A178" s="602"/>
      <c r="B178" s="554"/>
      <c r="C178" s="64"/>
      <c r="D178" s="556"/>
      <c r="E178" s="556"/>
      <c r="F178" s="187" t="s">
        <v>226</v>
      </c>
      <c r="G178" s="182">
        <v>30</v>
      </c>
      <c r="H178" s="183" t="str">
        <f>H176</f>
        <v>чел. х</v>
      </c>
      <c r="I178" s="182">
        <v>1</v>
      </c>
      <c r="J178" s="183" t="str">
        <f>J176</f>
        <v>раз х средняя цена с индексом потребительских цен</v>
      </c>
      <c r="K178" s="189">
        <f>ROUNDUP(K177*(1.041),2)</f>
        <v>36953.53</v>
      </c>
      <c r="L178" s="183" t="s">
        <v>41</v>
      </c>
      <c r="M178" s="182">
        <f t="shared" ref="M178" si="43">G178*I178*K178</f>
        <v>1108605.8999999999</v>
      </c>
      <c r="N178" s="183" t="s">
        <v>41</v>
      </c>
      <c r="O178" s="190">
        <f>ROUNDUP((M178),-2)</f>
        <v>1108700</v>
      </c>
      <c r="P178" s="191" t="s">
        <v>37</v>
      </c>
      <c r="Q178" s="192"/>
      <c r="R178" s="181"/>
      <c r="S178" s="550"/>
      <c r="T178" s="550"/>
      <c r="U178" s="550"/>
      <c r="V178" s="64"/>
      <c r="W178" s="161" t="str">
        <f t="shared" si="42"/>
        <v>30,0 чел. х 1,0 раз х 36953,53 руб. = 1 108 605,90 руб. = 1 108 700,00 руб.</v>
      </c>
    </row>
    <row r="179" spans="1:23" ht="90" collapsed="1" x14ac:dyDescent="0.25">
      <c r="A179" s="383" t="s">
        <v>22</v>
      </c>
      <c r="B179" s="553" t="s">
        <v>96</v>
      </c>
      <c r="C179" s="64"/>
      <c r="D179" s="555">
        <v>226</v>
      </c>
      <c r="E179" s="555">
        <v>244</v>
      </c>
      <c r="F179" s="557" t="s">
        <v>237</v>
      </c>
      <c r="G179" s="557"/>
      <c r="H179" s="557"/>
      <c r="I179" s="557"/>
      <c r="J179" s="557"/>
      <c r="K179" s="557"/>
      <c r="L179" s="557"/>
      <c r="M179" s="557"/>
      <c r="N179" s="557"/>
      <c r="O179" s="557"/>
      <c r="P179" s="557"/>
      <c r="Q179" s="557"/>
      <c r="R179" s="557"/>
      <c r="S179" s="550">
        <f>M181</f>
        <v>4400</v>
      </c>
      <c r="T179" s="550">
        <f>M182</f>
        <v>4500</v>
      </c>
      <c r="U179" s="550">
        <f>M183</f>
        <v>4700</v>
      </c>
      <c r="V179" s="64"/>
      <c r="W179" s="161" t="s">
        <v>324</v>
      </c>
    </row>
    <row r="180" spans="1:23" ht="15" hidden="1" outlineLevel="1" x14ac:dyDescent="0.25">
      <c r="A180" s="383"/>
      <c r="B180" s="554"/>
      <c r="C180" s="64"/>
      <c r="D180" s="556"/>
      <c r="E180" s="556"/>
      <c r="F180" s="181"/>
      <c r="G180" s="182">
        <v>2</v>
      </c>
      <c r="H180" s="183" t="s">
        <v>231</v>
      </c>
      <c r="I180" s="182">
        <f>ROUNDUP((2077.8),2)</f>
        <v>2077.8000000000002</v>
      </c>
      <c r="J180" s="183" t="s">
        <v>41</v>
      </c>
      <c r="K180" s="182">
        <f>ROUND((G180*I180),2)</f>
        <v>4155.6000000000004</v>
      </c>
      <c r="L180" s="183" t="s">
        <v>37</v>
      </c>
      <c r="M180" s="183"/>
      <c r="N180" s="183"/>
      <c r="O180" s="183"/>
      <c r="P180" s="183"/>
      <c r="Q180" s="183"/>
      <c r="R180" s="188"/>
      <c r="S180" s="550"/>
      <c r="T180" s="550"/>
      <c r="U180" s="550"/>
      <c r="V180" s="64"/>
      <c r="W180" s="161"/>
    </row>
    <row r="181" spans="1:23" ht="15" x14ac:dyDescent="0.25">
      <c r="A181" s="383"/>
      <c r="B181" s="554"/>
      <c r="C181" s="64"/>
      <c r="D181" s="556"/>
      <c r="E181" s="556"/>
      <c r="F181" s="187" t="s">
        <v>151</v>
      </c>
      <c r="G181" s="182">
        <v>2</v>
      </c>
      <c r="H181" s="188" t="s">
        <v>271</v>
      </c>
      <c r="I181" s="189">
        <f>ROUNDUP(I180*(1.04),2)</f>
        <v>2160.92</v>
      </c>
      <c r="J181" s="183" t="s">
        <v>41</v>
      </c>
      <c r="K181" s="182">
        <f>G181*I181</f>
        <v>4321.84</v>
      </c>
      <c r="L181" s="183" t="s">
        <v>41</v>
      </c>
      <c r="M181" s="190">
        <f>ROUNDUP((K181),-2)</f>
        <v>4400</v>
      </c>
      <c r="N181" s="191" t="s">
        <v>37</v>
      </c>
      <c r="O181" s="190"/>
      <c r="P181" s="192"/>
      <c r="Q181" s="192"/>
      <c r="R181" s="192"/>
      <c r="S181" s="550"/>
      <c r="T181" s="550"/>
      <c r="U181" s="550"/>
      <c r="V181" s="64"/>
      <c r="W181" s="161" t="str">
        <f>""&amp;TEXT(G181,"0,0")&amp;" ед. х "&amp;TEXT(ROUND((K181/G181),2),"0,00")&amp;" руб. = "&amp;TEXT(ROUND((G181*(ROUND((K181/G181),2))),2),"0 000,00")&amp;" руб. = "&amp;TEXT(M181,"0 000,00")&amp;" руб."</f>
        <v>2,0 ед. х 2160,92 руб. = 4 321,84 руб. = 4 400,00 руб.</v>
      </c>
    </row>
    <row r="182" spans="1:23" ht="15" x14ac:dyDescent="0.25">
      <c r="A182" s="383"/>
      <c r="B182" s="554"/>
      <c r="C182" s="64"/>
      <c r="D182" s="556"/>
      <c r="E182" s="556"/>
      <c r="F182" s="187" t="s">
        <v>193</v>
      </c>
      <c r="G182" s="182">
        <v>2</v>
      </c>
      <c r="H182" s="183" t="str">
        <f>H181</f>
        <v>ед. х средняя цена с индексом потребительских цен</v>
      </c>
      <c r="I182" s="189">
        <f>ROUNDUP(I181*(1.041),2)</f>
        <v>2249.5200000000004</v>
      </c>
      <c r="J182" s="183" t="s">
        <v>41</v>
      </c>
      <c r="K182" s="182">
        <f t="shared" ref="K182:K183" si="44">G182*I182</f>
        <v>4499.0400000000009</v>
      </c>
      <c r="L182" s="183" t="s">
        <v>41</v>
      </c>
      <c r="M182" s="190">
        <f>ROUNDUP((K182),-2)</f>
        <v>4500</v>
      </c>
      <c r="N182" s="191" t="s">
        <v>37</v>
      </c>
      <c r="O182" s="190"/>
      <c r="P182" s="192"/>
      <c r="Q182" s="192"/>
      <c r="R182" s="192"/>
      <c r="S182" s="550"/>
      <c r="T182" s="550"/>
      <c r="U182" s="550"/>
      <c r="V182" s="64"/>
      <c r="W182" s="161" t="str">
        <f t="shared" ref="W182:W183" si="45">""&amp;TEXT(G182,"0,0")&amp;" ед. х "&amp;TEXT(ROUND((K182/G182),2),"0,00")&amp;" руб. = "&amp;TEXT(ROUND((G182*(ROUND((K182/G182),2))),2),"0 000,00")&amp;" руб. = "&amp;TEXT(M182,"0 000,00")&amp;" руб."</f>
        <v>2,0 ед. х 2249,52 руб. = 4 499,04 руб. = 4 500,00 руб.</v>
      </c>
    </row>
    <row r="183" spans="1:23" ht="15" x14ac:dyDescent="0.25">
      <c r="A183" s="383"/>
      <c r="B183" s="554"/>
      <c r="C183" s="64"/>
      <c r="D183" s="556"/>
      <c r="E183" s="556"/>
      <c r="F183" s="187" t="s">
        <v>226</v>
      </c>
      <c r="G183" s="182">
        <v>2</v>
      </c>
      <c r="H183" s="183" t="str">
        <f>H181</f>
        <v>ед. х средняя цена с индексом потребительских цен</v>
      </c>
      <c r="I183" s="189">
        <f>ROUNDUP(I182*(1.041),2)</f>
        <v>2341.7600000000002</v>
      </c>
      <c r="J183" s="183" t="s">
        <v>41</v>
      </c>
      <c r="K183" s="182">
        <f t="shared" si="44"/>
        <v>4683.5200000000004</v>
      </c>
      <c r="L183" s="183" t="s">
        <v>41</v>
      </c>
      <c r="M183" s="190">
        <f>ROUNDUP((K183),-2)</f>
        <v>4700</v>
      </c>
      <c r="N183" s="191" t="s">
        <v>37</v>
      </c>
      <c r="O183" s="190"/>
      <c r="P183" s="192"/>
      <c r="Q183" s="192"/>
      <c r="R183" s="192"/>
      <c r="S183" s="551"/>
      <c r="T183" s="551"/>
      <c r="U183" s="551"/>
      <c r="V183" s="64"/>
      <c r="W183" s="161" t="str">
        <f t="shared" si="45"/>
        <v>2,0 ед. х 2341,76 руб. = 4 683,52 руб. = 4 700,00 руб.</v>
      </c>
    </row>
    <row r="184" spans="1:23" ht="90" x14ac:dyDescent="0.25">
      <c r="A184" s="388" t="s">
        <v>190</v>
      </c>
      <c r="B184" s="580" t="s">
        <v>325</v>
      </c>
      <c r="C184" s="180"/>
      <c r="D184" s="604">
        <v>226</v>
      </c>
      <c r="E184" s="604">
        <v>244</v>
      </c>
      <c r="F184" s="557" t="s">
        <v>268</v>
      </c>
      <c r="G184" s="557"/>
      <c r="H184" s="557"/>
      <c r="I184" s="557"/>
      <c r="J184" s="557"/>
      <c r="K184" s="557"/>
      <c r="L184" s="557"/>
      <c r="M184" s="557"/>
      <c r="N184" s="557"/>
      <c r="O184" s="557"/>
      <c r="P184" s="557"/>
      <c r="Q184" s="557"/>
      <c r="R184" s="557"/>
      <c r="S184" s="550">
        <f>M186</f>
        <v>1980000</v>
      </c>
      <c r="T184" s="550">
        <f>M187</f>
        <v>2061200</v>
      </c>
      <c r="U184" s="550">
        <f>M188</f>
        <v>2145700</v>
      </c>
      <c r="V184" s="64"/>
      <c r="W184" s="161" t="s">
        <v>326</v>
      </c>
    </row>
    <row r="185" spans="1:23" ht="18.75" customHeight="1" outlineLevel="1" x14ac:dyDescent="0.25">
      <c r="A185" s="389"/>
      <c r="B185" s="581"/>
      <c r="C185" s="180"/>
      <c r="D185" s="605"/>
      <c r="E185" s="605"/>
      <c r="F185" s="181"/>
      <c r="G185" s="182">
        <v>3000</v>
      </c>
      <c r="H185" s="183" t="s">
        <v>231</v>
      </c>
      <c r="I185" s="182">
        <f>ROUNDUP((1980000/G185),2)</f>
        <v>660</v>
      </c>
      <c r="J185" s="183" t="s">
        <v>41</v>
      </c>
      <c r="K185" s="182">
        <f>ROUND((G185*I185),2)</f>
        <v>1980000</v>
      </c>
      <c r="L185" s="183" t="s">
        <v>37</v>
      </c>
      <c r="M185" s="183"/>
      <c r="N185" s="183"/>
      <c r="O185" s="183"/>
      <c r="P185" s="183"/>
      <c r="Q185" s="183"/>
      <c r="R185" s="188"/>
      <c r="S185" s="550"/>
      <c r="T185" s="550"/>
      <c r="U185" s="550"/>
      <c r="V185" s="64"/>
      <c r="W185" s="161"/>
    </row>
    <row r="186" spans="1:23" ht="15" x14ac:dyDescent="0.25">
      <c r="A186" s="389"/>
      <c r="B186" s="581"/>
      <c r="C186" s="180"/>
      <c r="D186" s="605"/>
      <c r="E186" s="605"/>
      <c r="F186" s="187" t="s">
        <v>151</v>
      </c>
      <c r="G186" s="182">
        <v>3000</v>
      </c>
      <c r="H186" s="188" t="s">
        <v>271</v>
      </c>
      <c r="I186" s="189">
        <f>ROUNDUP(I185*(1.04-1.04+1),2)</f>
        <v>660</v>
      </c>
      <c r="J186" s="183" t="s">
        <v>41</v>
      </c>
      <c r="K186" s="182">
        <f>G186*I186</f>
        <v>1980000</v>
      </c>
      <c r="L186" s="183" t="s">
        <v>41</v>
      </c>
      <c r="M186" s="190">
        <f>ROUNDUP((K186),-2)</f>
        <v>1980000</v>
      </c>
      <c r="N186" s="191" t="s">
        <v>37</v>
      </c>
      <c r="O186" s="190"/>
      <c r="P186" s="192"/>
      <c r="Q186" s="192"/>
      <c r="R186" s="192"/>
      <c r="S186" s="550"/>
      <c r="T186" s="550"/>
      <c r="U186" s="550"/>
      <c r="V186" s="64"/>
      <c r="W186" s="161" t="str">
        <f>""&amp;TEXT(G186,"0,0")&amp;" ед. х "&amp;TEXT(ROUND((K186/G186),2),"0,00")&amp;" руб. = "&amp;TEXT(ROUND((G186*(ROUND((K186/G186),2))),2),"0 000,00")&amp;" руб. = "&amp;TEXT(M186,"0 000,00")&amp;" руб."</f>
        <v>3000,0 ед. х 660,00 руб. = 1 980 000,00 руб. = 1 980 000,00 руб.</v>
      </c>
    </row>
    <row r="187" spans="1:23" ht="15" x14ac:dyDescent="0.25">
      <c r="A187" s="389"/>
      <c r="B187" s="581"/>
      <c r="C187" s="180"/>
      <c r="D187" s="605"/>
      <c r="E187" s="605"/>
      <c r="F187" s="187" t="s">
        <v>193</v>
      </c>
      <c r="G187" s="182">
        <v>3000</v>
      </c>
      <c r="H187" s="183" t="str">
        <f>H186</f>
        <v>ед. х средняя цена с индексом потребительских цен</v>
      </c>
      <c r="I187" s="189">
        <f>ROUNDUP(I186*(1.041),2)</f>
        <v>687.06</v>
      </c>
      <c r="J187" s="183" t="s">
        <v>41</v>
      </c>
      <c r="K187" s="182">
        <f t="shared" ref="K187:K188" si="46">G187*I187</f>
        <v>2061179.9999999998</v>
      </c>
      <c r="L187" s="183" t="s">
        <v>41</v>
      </c>
      <c r="M187" s="190">
        <f>ROUNDUP((K187),-2)</f>
        <v>2061200</v>
      </c>
      <c r="N187" s="191" t="s">
        <v>37</v>
      </c>
      <c r="O187" s="190"/>
      <c r="P187" s="192"/>
      <c r="Q187" s="192"/>
      <c r="R187" s="192"/>
      <c r="S187" s="550"/>
      <c r="T187" s="550"/>
      <c r="U187" s="550"/>
      <c r="V187" s="64"/>
      <c r="W187" s="161" t="str">
        <f t="shared" ref="W187:W188" si="47">""&amp;TEXT(G187,"0,0")&amp;" ед. х "&amp;TEXT(ROUND((K187/G187),2),"0,00")&amp;" руб. = "&amp;TEXT(ROUND((G187*(ROUND((K187/G187),2))),2),"0 000,00")&amp;" руб. = "&amp;TEXT(M187,"0 000,00")&amp;" руб."</f>
        <v>3000,0 ед. х 687,06 руб. = 2 061 180,00 руб. = 2 061 200,00 руб.</v>
      </c>
    </row>
    <row r="188" spans="1:23" ht="15" x14ac:dyDescent="0.25">
      <c r="A188" s="390"/>
      <c r="B188" s="603"/>
      <c r="C188" s="180"/>
      <c r="D188" s="606"/>
      <c r="E188" s="606"/>
      <c r="F188" s="187" t="s">
        <v>226</v>
      </c>
      <c r="G188" s="182">
        <v>3000</v>
      </c>
      <c r="H188" s="183" t="str">
        <f>H186</f>
        <v>ед. х средняя цена с индексом потребительских цен</v>
      </c>
      <c r="I188" s="189">
        <f>ROUNDUP(I187*(1.041),2)</f>
        <v>715.23</v>
      </c>
      <c r="J188" s="183" t="s">
        <v>41</v>
      </c>
      <c r="K188" s="182">
        <f t="shared" si="46"/>
        <v>2145690</v>
      </c>
      <c r="L188" s="183" t="s">
        <v>41</v>
      </c>
      <c r="M188" s="190">
        <f>ROUNDUP((K188),-2)</f>
        <v>2145700</v>
      </c>
      <c r="N188" s="191" t="s">
        <v>37</v>
      </c>
      <c r="O188" s="190"/>
      <c r="P188" s="192"/>
      <c r="Q188" s="192"/>
      <c r="R188" s="192"/>
      <c r="S188" s="551"/>
      <c r="T188" s="551"/>
      <c r="U188" s="551"/>
      <c r="V188" s="64"/>
      <c r="W188" s="161" t="str">
        <f t="shared" si="47"/>
        <v>3000,0 ед. х 715,23 руб. = 2 145 690,00 руб. = 2 145 700,00 руб.</v>
      </c>
    </row>
    <row r="189" spans="1:23" ht="90" x14ac:dyDescent="0.25">
      <c r="A189" s="608" t="s">
        <v>327</v>
      </c>
      <c r="B189" s="580" t="s">
        <v>328</v>
      </c>
      <c r="C189" s="180"/>
      <c r="D189" s="604">
        <v>226</v>
      </c>
      <c r="E189" s="604">
        <v>244</v>
      </c>
      <c r="F189" s="557" t="s">
        <v>268</v>
      </c>
      <c r="G189" s="557"/>
      <c r="H189" s="557"/>
      <c r="I189" s="557"/>
      <c r="J189" s="557"/>
      <c r="K189" s="557"/>
      <c r="L189" s="557"/>
      <c r="M189" s="557"/>
      <c r="N189" s="557"/>
      <c r="O189" s="557"/>
      <c r="P189" s="557"/>
      <c r="Q189" s="557"/>
      <c r="R189" s="557"/>
      <c r="S189" s="550">
        <f>M191</f>
        <v>68200</v>
      </c>
      <c r="T189" s="550">
        <f>M192</f>
        <v>71000</v>
      </c>
      <c r="U189" s="550">
        <f>M193</f>
        <v>73900</v>
      </c>
      <c r="V189" s="64"/>
      <c r="W189" s="161" t="s">
        <v>329</v>
      </c>
    </row>
    <row r="190" spans="1:23" ht="18.75" customHeight="1" outlineLevel="1" x14ac:dyDescent="0.25">
      <c r="A190" s="609"/>
      <c r="B190" s="581"/>
      <c r="C190" s="180"/>
      <c r="D190" s="605"/>
      <c r="E190" s="605"/>
      <c r="F190" s="181"/>
      <c r="G190" s="182">
        <v>1</v>
      </c>
      <c r="H190" s="183" t="s">
        <v>231</v>
      </c>
      <c r="I190" s="182">
        <f>ROUNDUP((68166.67/G190),2)</f>
        <v>68166.67</v>
      </c>
      <c r="J190" s="183" t="s">
        <v>41</v>
      </c>
      <c r="K190" s="182">
        <f>ROUND((G190*I190),2)</f>
        <v>68166.67</v>
      </c>
      <c r="L190" s="183" t="s">
        <v>37</v>
      </c>
      <c r="M190" s="183"/>
      <c r="N190" s="183"/>
      <c r="O190" s="183"/>
      <c r="P190" s="183"/>
      <c r="Q190" s="183"/>
      <c r="R190" s="188"/>
      <c r="S190" s="550"/>
      <c r="T190" s="550"/>
      <c r="U190" s="550"/>
      <c r="V190" s="64"/>
      <c r="W190" s="161"/>
    </row>
    <row r="191" spans="1:23" ht="15" x14ac:dyDescent="0.25">
      <c r="A191" s="609"/>
      <c r="B191" s="581"/>
      <c r="C191" s="180"/>
      <c r="D191" s="605"/>
      <c r="E191" s="605"/>
      <c r="F191" s="187" t="s">
        <v>151</v>
      </c>
      <c r="G191" s="182">
        <v>1</v>
      </c>
      <c r="H191" s="188" t="s">
        <v>271</v>
      </c>
      <c r="I191" s="189">
        <f>ROUNDUP(I190*(1.04-1.04+1),2)</f>
        <v>68166.67</v>
      </c>
      <c r="J191" s="183" t="s">
        <v>41</v>
      </c>
      <c r="K191" s="182">
        <f>G191*I191</f>
        <v>68166.67</v>
      </c>
      <c r="L191" s="183" t="s">
        <v>41</v>
      </c>
      <c r="M191" s="190">
        <f>ROUNDUP((K191),-2)</f>
        <v>68200</v>
      </c>
      <c r="N191" s="191" t="s">
        <v>37</v>
      </c>
      <c r="O191" s="190"/>
      <c r="P191" s="192"/>
      <c r="Q191" s="192"/>
      <c r="R191" s="192"/>
      <c r="S191" s="550"/>
      <c r="T191" s="550"/>
      <c r="U191" s="550"/>
      <c r="V191" s="64"/>
      <c r="W191" s="161" t="str">
        <f>""&amp;TEXT(G191,"0,0")&amp;" ед. х "&amp;TEXT(ROUND((K191/G191),2),"0,00")&amp;" руб. = "&amp;TEXT(ROUND((G191*(ROUND((K191/G191),2))),2),"0 000,00")&amp;" руб. = "&amp;TEXT(M191,"0 000,00")&amp;" руб."</f>
        <v>1,0 ед. х 68166,67 руб. = 68 166,67 руб. = 68 200,00 руб.</v>
      </c>
    </row>
    <row r="192" spans="1:23" ht="15" x14ac:dyDescent="0.25">
      <c r="A192" s="609"/>
      <c r="B192" s="581"/>
      <c r="C192" s="180"/>
      <c r="D192" s="605"/>
      <c r="E192" s="605"/>
      <c r="F192" s="187" t="s">
        <v>193</v>
      </c>
      <c r="G192" s="182">
        <v>1</v>
      </c>
      <c r="H192" s="183" t="str">
        <f>H191</f>
        <v>ед. х средняя цена с индексом потребительских цен</v>
      </c>
      <c r="I192" s="189">
        <f>ROUNDUP(I191*(1.041),2)</f>
        <v>70961.509999999995</v>
      </c>
      <c r="J192" s="183" t="s">
        <v>41</v>
      </c>
      <c r="K192" s="182">
        <f t="shared" ref="K192:K193" si="48">G192*I192</f>
        <v>70961.509999999995</v>
      </c>
      <c r="L192" s="183" t="s">
        <v>41</v>
      </c>
      <c r="M192" s="190">
        <f>ROUNDUP((K192),-2)</f>
        <v>71000</v>
      </c>
      <c r="N192" s="191" t="s">
        <v>37</v>
      </c>
      <c r="O192" s="190"/>
      <c r="P192" s="192"/>
      <c r="Q192" s="192"/>
      <c r="R192" s="192"/>
      <c r="S192" s="550"/>
      <c r="T192" s="550"/>
      <c r="U192" s="550"/>
      <c r="V192" s="64"/>
      <c r="W192" s="161" t="str">
        <f t="shared" ref="W192:W193" si="49">""&amp;TEXT(G192,"0,0")&amp;" ед. х "&amp;TEXT(ROUND((K192/G192),2),"0,00")&amp;" руб. = "&amp;TEXT(ROUND((G192*(ROUND((K192/G192),2))),2),"0 000,00")&amp;" руб. = "&amp;TEXT(M192,"0 000,00")&amp;" руб."</f>
        <v>1,0 ед. х 70961,51 руб. = 70 961,51 руб. = 71 000,00 руб.</v>
      </c>
    </row>
    <row r="193" spans="1:23" ht="15" x14ac:dyDescent="0.25">
      <c r="A193" s="610"/>
      <c r="B193" s="603"/>
      <c r="C193" s="180"/>
      <c r="D193" s="606"/>
      <c r="E193" s="606"/>
      <c r="F193" s="187" t="s">
        <v>226</v>
      </c>
      <c r="G193" s="182">
        <v>1</v>
      </c>
      <c r="H193" s="183" t="str">
        <f>H191</f>
        <v>ед. х средняя цена с индексом потребительских цен</v>
      </c>
      <c r="I193" s="189">
        <f>ROUNDUP(I192*(1.041),2)</f>
        <v>73870.939999999988</v>
      </c>
      <c r="J193" s="183" t="s">
        <v>41</v>
      </c>
      <c r="K193" s="182">
        <f t="shared" si="48"/>
        <v>73870.939999999988</v>
      </c>
      <c r="L193" s="183" t="s">
        <v>41</v>
      </c>
      <c r="M193" s="190">
        <f>ROUNDUP((K193),-2)</f>
        <v>73900</v>
      </c>
      <c r="N193" s="191" t="s">
        <v>37</v>
      </c>
      <c r="O193" s="190"/>
      <c r="P193" s="192"/>
      <c r="Q193" s="192"/>
      <c r="R193" s="192"/>
      <c r="S193" s="551"/>
      <c r="T193" s="551"/>
      <c r="U193" s="551"/>
      <c r="V193" s="64"/>
      <c r="W193" s="161" t="str">
        <f t="shared" si="49"/>
        <v>1,0 ед. х 73870,94 руб. = 73 870,94 руб. = 73 900,00 руб.</v>
      </c>
    </row>
    <row r="194" spans="1:23" ht="10.5" customHeight="1" x14ac:dyDescent="0.25">
      <c r="A194" s="101"/>
      <c r="B194" s="101"/>
      <c r="C194" s="101"/>
      <c r="D194" s="101"/>
      <c r="E194" s="101"/>
      <c r="F194" s="101"/>
      <c r="G194" s="101"/>
      <c r="H194" s="101"/>
      <c r="I194" s="101"/>
      <c r="J194" s="101"/>
      <c r="K194" s="101"/>
      <c r="L194" s="101"/>
      <c r="M194" s="101"/>
      <c r="N194" s="101"/>
      <c r="O194" s="101"/>
      <c r="P194" s="101"/>
      <c r="Q194" s="101"/>
      <c r="R194" s="101"/>
      <c r="S194" s="101"/>
      <c r="T194" s="101"/>
      <c r="U194" s="101"/>
      <c r="V194" s="101"/>
      <c r="W194" s="101"/>
    </row>
    <row r="195" spans="1:23" ht="27.75" customHeight="1" x14ac:dyDescent="0.25">
      <c r="A195" s="607" t="s">
        <v>330</v>
      </c>
      <c r="B195" s="607"/>
      <c r="C195" s="607"/>
      <c r="D195" s="607"/>
      <c r="E195" s="607"/>
      <c r="F195" s="607"/>
      <c r="G195" s="607"/>
      <c r="H195" s="607"/>
      <c r="I195" s="607"/>
      <c r="J195" s="607"/>
      <c r="K195" s="607"/>
      <c r="L195" s="607"/>
      <c r="M195" s="607"/>
      <c r="N195" s="607"/>
      <c r="O195" s="607"/>
      <c r="P195" s="607"/>
      <c r="Q195" s="607"/>
      <c r="R195" s="607"/>
      <c r="S195" s="607"/>
      <c r="T195" s="607"/>
      <c r="U195" s="607"/>
      <c r="V195" s="607"/>
      <c r="W195" s="607"/>
    </row>
    <row r="196" spans="1:23" ht="10.5" customHeight="1" x14ac:dyDescent="0.25">
      <c r="A196" s="101"/>
      <c r="B196" s="101"/>
      <c r="C196" s="101"/>
      <c r="D196" s="101"/>
      <c r="E196" s="101"/>
      <c r="F196" s="101"/>
      <c r="G196" s="101"/>
      <c r="H196" s="101"/>
      <c r="I196" s="101"/>
      <c r="J196" s="101"/>
      <c r="K196" s="101"/>
      <c r="L196" s="101"/>
      <c r="M196" s="101"/>
      <c r="N196" s="101"/>
      <c r="O196" s="101"/>
      <c r="P196" s="101"/>
      <c r="Q196" s="101"/>
      <c r="R196" s="101"/>
      <c r="S196" s="101"/>
      <c r="T196" s="101"/>
      <c r="U196" s="101"/>
      <c r="V196" s="101"/>
      <c r="W196" s="101"/>
    </row>
    <row r="197" spans="1:23" ht="25.5" customHeight="1" x14ac:dyDescent="0.25">
      <c r="A197" s="102" t="s">
        <v>197</v>
      </c>
      <c r="W197" s="103" t="s">
        <v>196</v>
      </c>
    </row>
    <row r="199" spans="1:23" x14ac:dyDescent="0.25">
      <c r="A199" s="237">
        <v>44362</v>
      </c>
    </row>
    <row r="202" spans="1:23" x14ac:dyDescent="0.25">
      <c r="M202" s="238"/>
    </row>
  </sheetData>
  <autoFilter ref="D8:R183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299">
    <mergeCell ref="T189:T193"/>
    <mergeCell ref="U189:U193"/>
    <mergeCell ref="A195:W195"/>
    <mergeCell ref="A189:A193"/>
    <mergeCell ref="B189:B193"/>
    <mergeCell ref="D189:D193"/>
    <mergeCell ref="E189:E193"/>
    <mergeCell ref="F189:R189"/>
    <mergeCell ref="S189:S193"/>
    <mergeCell ref="A184:A188"/>
    <mergeCell ref="B184:B188"/>
    <mergeCell ref="D184:D188"/>
    <mergeCell ref="E184:E188"/>
    <mergeCell ref="F184:R184"/>
    <mergeCell ref="S184:S188"/>
    <mergeCell ref="T184:T188"/>
    <mergeCell ref="U184:U188"/>
    <mergeCell ref="A179:A183"/>
    <mergeCell ref="B179:B183"/>
    <mergeCell ref="D179:D183"/>
    <mergeCell ref="E179:E183"/>
    <mergeCell ref="F179:R179"/>
    <mergeCell ref="S179:S183"/>
    <mergeCell ref="A174:A178"/>
    <mergeCell ref="B174:B178"/>
    <mergeCell ref="D174:D178"/>
    <mergeCell ref="E174:E178"/>
    <mergeCell ref="F174:R174"/>
    <mergeCell ref="S174:S178"/>
    <mergeCell ref="T174:T178"/>
    <mergeCell ref="U174:U178"/>
    <mergeCell ref="T179:T183"/>
    <mergeCell ref="U179:U183"/>
    <mergeCell ref="T163:T167"/>
    <mergeCell ref="U163:U167"/>
    <mergeCell ref="F168:R168"/>
    <mergeCell ref="A169:A173"/>
    <mergeCell ref="B169:B173"/>
    <mergeCell ref="D169:D173"/>
    <mergeCell ref="E169:E173"/>
    <mergeCell ref="F169:R169"/>
    <mergeCell ref="S169:S173"/>
    <mergeCell ref="T169:T173"/>
    <mergeCell ref="A163:A167"/>
    <mergeCell ref="B163:B167"/>
    <mergeCell ref="D163:D167"/>
    <mergeCell ref="E163:E167"/>
    <mergeCell ref="F163:R163"/>
    <mergeCell ref="S163:S167"/>
    <mergeCell ref="U169:U173"/>
    <mergeCell ref="T153:T157"/>
    <mergeCell ref="U153:U157"/>
    <mergeCell ref="A158:A162"/>
    <mergeCell ref="B158:B162"/>
    <mergeCell ref="D158:D162"/>
    <mergeCell ref="E158:E162"/>
    <mergeCell ref="F158:R158"/>
    <mergeCell ref="S158:S162"/>
    <mergeCell ref="T158:T162"/>
    <mergeCell ref="U158:U162"/>
    <mergeCell ref="A153:A157"/>
    <mergeCell ref="B153:B157"/>
    <mergeCell ref="D153:D157"/>
    <mergeCell ref="E153:E157"/>
    <mergeCell ref="F153:R153"/>
    <mergeCell ref="S153:S157"/>
    <mergeCell ref="T143:T147"/>
    <mergeCell ref="U143:U147"/>
    <mergeCell ref="A148:A152"/>
    <mergeCell ref="B148:B152"/>
    <mergeCell ref="D148:D152"/>
    <mergeCell ref="E148:E152"/>
    <mergeCell ref="F148:R148"/>
    <mergeCell ref="S148:S152"/>
    <mergeCell ref="T148:T152"/>
    <mergeCell ref="U148:U152"/>
    <mergeCell ref="A143:A147"/>
    <mergeCell ref="B143:B147"/>
    <mergeCell ref="D143:D147"/>
    <mergeCell ref="E143:E147"/>
    <mergeCell ref="F143:R143"/>
    <mergeCell ref="S143:S147"/>
    <mergeCell ref="A138:A142"/>
    <mergeCell ref="B138:B142"/>
    <mergeCell ref="D138:D142"/>
    <mergeCell ref="E138:E142"/>
    <mergeCell ref="F138:R138"/>
    <mergeCell ref="S138:S142"/>
    <mergeCell ref="T138:T142"/>
    <mergeCell ref="U138:U142"/>
    <mergeCell ref="A133:A137"/>
    <mergeCell ref="B133:B137"/>
    <mergeCell ref="D133:D137"/>
    <mergeCell ref="E133:E137"/>
    <mergeCell ref="F133:R133"/>
    <mergeCell ref="S133:S137"/>
    <mergeCell ref="A128:A132"/>
    <mergeCell ref="B128:B132"/>
    <mergeCell ref="D128:D132"/>
    <mergeCell ref="E128:E132"/>
    <mergeCell ref="F128:R128"/>
    <mergeCell ref="S128:S132"/>
    <mergeCell ref="T128:T132"/>
    <mergeCell ref="U128:U132"/>
    <mergeCell ref="T133:T137"/>
    <mergeCell ref="U133:U137"/>
    <mergeCell ref="T118:T122"/>
    <mergeCell ref="U118:U122"/>
    <mergeCell ref="F123:R123"/>
    <mergeCell ref="A124:A127"/>
    <mergeCell ref="B124:B127"/>
    <mergeCell ref="D124:D127"/>
    <mergeCell ref="E124:E127"/>
    <mergeCell ref="F124:R124"/>
    <mergeCell ref="S124:S127"/>
    <mergeCell ref="T124:T127"/>
    <mergeCell ref="A118:A122"/>
    <mergeCell ref="B118:B122"/>
    <mergeCell ref="D118:D122"/>
    <mergeCell ref="E118:E122"/>
    <mergeCell ref="F118:R118"/>
    <mergeCell ref="S118:S122"/>
    <mergeCell ref="U124:U127"/>
    <mergeCell ref="A108:A112"/>
    <mergeCell ref="B108:B112"/>
    <mergeCell ref="D108:D112"/>
    <mergeCell ref="E108:E112"/>
    <mergeCell ref="F108:R108"/>
    <mergeCell ref="S108:S112"/>
    <mergeCell ref="T108:T112"/>
    <mergeCell ref="U108:U112"/>
    <mergeCell ref="A113:A117"/>
    <mergeCell ref="B113:B117"/>
    <mergeCell ref="D113:D117"/>
    <mergeCell ref="E113:E117"/>
    <mergeCell ref="F113:R113"/>
    <mergeCell ref="S113:S117"/>
    <mergeCell ref="T113:T117"/>
    <mergeCell ref="U113:U117"/>
    <mergeCell ref="A104:A107"/>
    <mergeCell ref="B104:B107"/>
    <mergeCell ref="D104:D107"/>
    <mergeCell ref="E104:E107"/>
    <mergeCell ref="F104:R104"/>
    <mergeCell ref="T93:T97"/>
    <mergeCell ref="U93:U97"/>
    <mergeCell ref="A98:A102"/>
    <mergeCell ref="B98:B102"/>
    <mergeCell ref="D98:D102"/>
    <mergeCell ref="E98:E102"/>
    <mergeCell ref="F98:R98"/>
    <mergeCell ref="S98:S102"/>
    <mergeCell ref="T98:T102"/>
    <mergeCell ref="U98:U102"/>
    <mergeCell ref="A93:A97"/>
    <mergeCell ref="B93:B97"/>
    <mergeCell ref="D93:D97"/>
    <mergeCell ref="E93:E97"/>
    <mergeCell ref="F93:R93"/>
    <mergeCell ref="S93:S97"/>
    <mergeCell ref="S104:S107"/>
    <mergeCell ref="T104:T107"/>
    <mergeCell ref="U104:U107"/>
    <mergeCell ref="A88:A92"/>
    <mergeCell ref="B88:B92"/>
    <mergeCell ref="D88:D92"/>
    <mergeCell ref="E88:E92"/>
    <mergeCell ref="F88:R88"/>
    <mergeCell ref="S88:S92"/>
    <mergeCell ref="T88:T92"/>
    <mergeCell ref="U88:U92"/>
    <mergeCell ref="F103:R103"/>
    <mergeCell ref="S78:S81"/>
    <mergeCell ref="T78:T81"/>
    <mergeCell ref="U78:U81"/>
    <mergeCell ref="F82:R82"/>
    <mergeCell ref="A83:A87"/>
    <mergeCell ref="B83:B87"/>
    <mergeCell ref="D83:D87"/>
    <mergeCell ref="E83:E87"/>
    <mergeCell ref="F83:R83"/>
    <mergeCell ref="S83:S87"/>
    <mergeCell ref="T83:T87"/>
    <mergeCell ref="U83:U87"/>
    <mergeCell ref="A78:A81"/>
    <mergeCell ref="B78:B81"/>
    <mergeCell ref="D78:D81"/>
    <mergeCell ref="E78:E81"/>
    <mergeCell ref="F78:R78"/>
    <mergeCell ref="S65:S69"/>
    <mergeCell ref="T65:T69"/>
    <mergeCell ref="U65:U69"/>
    <mergeCell ref="F77:R77"/>
    <mergeCell ref="A59:A63"/>
    <mergeCell ref="B59:B63"/>
    <mergeCell ref="D59:D63"/>
    <mergeCell ref="E59:E63"/>
    <mergeCell ref="F59:R59"/>
    <mergeCell ref="S59:S63"/>
    <mergeCell ref="T59:T63"/>
    <mergeCell ref="U59:U63"/>
    <mergeCell ref="F64:R64"/>
    <mergeCell ref="A70:A74"/>
    <mergeCell ref="B70:B74"/>
    <mergeCell ref="D70:D74"/>
    <mergeCell ref="E70:E74"/>
    <mergeCell ref="F70:R70"/>
    <mergeCell ref="F76:R76"/>
    <mergeCell ref="A65:A69"/>
    <mergeCell ref="B65:B69"/>
    <mergeCell ref="D65:D69"/>
    <mergeCell ref="E65:E69"/>
    <mergeCell ref="F65:R65"/>
    <mergeCell ref="F53:R53"/>
    <mergeCell ref="A54:A58"/>
    <mergeCell ref="B54:B58"/>
    <mergeCell ref="D54:D58"/>
    <mergeCell ref="E54:E58"/>
    <mergeCell ref="F54:R54"/>
    <mergeCell ref="U43:U47"/>
    <mergeCell ref="A48:A52"/>
    <mergeCell ref="B48:B52"/>
    <mergeCell ref="D48:D52"/>
    <mergeCell ref="E48:E52"/>
    <mergeCell ref="F48:R48"/>
    <mergeCell ref="S48:S52"/>
    <mergeCell ref="T48:T52"/>
    <mergeCell ref="U48:U52"/>
    <mergeCell ref="S54:S58"/>
    <mergeCell ref="T54:T58"/>
    <mergeCell ref="U54:U58"/>
    <mergeCell ref="T37:T41"/>
    <mergeCell ref="U37:U41"/>
    <mergeCell ref="F42:R42"/>
    <mergeCell ref="A43:A47"/>
    <mergeCell ref="B43:B47"/>
    <mergeCell ref="D43:D47"/>
    <mergeCell ref="E43:E47"/>
    <mergeCell ref="F43:R43"/>
    <mergeCell ref="S43:S47"/>
    <mergeCell ref="T43:T47"/>
    <mergeCell ref="A37:A41"/>
    <mergeCell ref="B37:B41"/>
    <mergeCell ref="D37:D41"/>
    <mergeCell ref="E37:E41"/>
    <mergeCell ref="F37:R37"/>
    <mergeCell ref="S37:S41"/>
    <mergeCell ref="T27:T31"/>
    <mergeCell ref="U27:U31"/>
    <mergeCell ref="A32:A36"/>
    <mergeCell ref="B32:B36"/>
    <mergeCell ref="D32:D36"/>
    <mergeCell ref="E32:E36"/>
    <mergeCell ref="F32:R32"/>
    <mergeCell ref="S32:S36"/>
    <mergeCell ref="T32:T36"/>
    <mergeCell ref="U32:U36"/>
    <mergeCell ref="A27:A31"/>
    <mergeCell ref="B27:B31"/>
    <mergeCell ref="D27:D31"/>
    <mergeCell ref="E27:E31"/>
    <mergeCell ref="F27:R27"/>
    <mergeCell ref="S27:S31"/>
    <mergeCell ref="W20:W21"/>
    <mergeCell ref="W22:W23"/>
    <mergeCell ref="F24:R24"/>
    <mergeCell ref="F25:R25"/>
    <mergeCell ref="F26:R26"/>
    <mergeCell ref="T13:T16"/>
    <mergeCell ref="U13:U16"/>
    <mergeCell ref="A17:A23"/>
    <mergeCell ref="B17:B23"/>
    <mergeCell ref="D17:D23"/>
    <mergeCell ref="E17:E23"/>
    <mergeCell ref="F17:R17"/>
    <mergeCell ref="S17:S23"/>
    <mergeCell ref="T17:T23"/>
    <mergeCell ref="U17:U23"/>
    <mergeCell ref="F11:R11"/>
    <mergeCell ref="F12:R12"/>
    <mergeCell ref="A13:A16"/>
    <mergeCell ref="B13:B16"/>
    <mergeCell ref="D13:D16"/>
    <mergeCell ref="E13:E16"/>
    <mergeCell ref="F13:R13"/>
    <mergeCell ref="S13:S16"/>
    <mergeCell ref="W18:W19"/>
    <mergeCell ref="A2:W2"/>
    <mergeCell ref="A3:W3"/>
    <mergeCell ref="A4:W4"/>
    <mergeCell ref="A5:W5"/>
    <mergeCell ref="A6:W6"/>
    <mergeCell ref="A8:A9"/>
    <mergeCell ref="B8:B9"/>
    <mergeCell ref="D8:D9"/>
    <mergeCell ref="E8:E9"/>
    <mergeCell ref="F8:R9"/>
    <mergeCell ref="S8:U8"/>
    <mergeCell ref="W8:W9"/>
  </mergeCells>
  <pageMargins left="0.31496062992125984" right="0.23622047244094491" top="0.78740157480314965" bottom="0.35433070866141736" header="0.31496062992125984" footer="0.19685039370078741"/>
  <pageSetup paperSize="9" scale="50" fitToWidth="0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Y169"/>
  <sheetViews>
    <sheetView view="pageBreakPreview" zoomScale="73" zoomScaleNormal="52" zoomScaleSheetLayoutView="73" workbookViewId="0">
      <pane xSplit="2" ySplit="10" topLeftCell="M72" activePane="bottomRight" state="frozen"/>
      <selection pane="topRight" activeCell="C1" sqref="C1"/>
      <selection pane="bottomLeft" activeCell="A11" sqref="A11"/>
      <selection pane="bottomRight" activeCell="B76" sqref="B76"/>
    </sheetView>
  </sheetViews>
  <sheetFormatPr defaultColWidth="9.140625" defaultRowHeight="15.75" outlineLevelRow="1" outlineLevelCol="1" x14ac:dyDescent="0.25"/>
  <cols>
    <col min="1" max="1" width="9.5703125" style="55" customWidth="1"/>
    <col min="2" max="2" width="60.42578125" style="105" customWidth="1"/>
    <col min="3" max="3" width="0.28515625" style="55" customWidth="1" outlineLevel="1" collapsed="1"/>
    <col min="4" max="4" width="9" style="55" customWidth="1" outlineLevel="1"/>
    <col min="5" max="5" width="9" style="55" customWidth="1" outlineLevel="1" collapsed="1"/>
    <col min="6" max="6" width="25.140625" style="55" customWidth="1" outlineLevel="1"/>
    <col min="7" max="7" width="13.5703125" style="55" customWidth="1" outlineLevel="1"/>
    <col min="8" max="8" width="43.5703125" style="55" customWidth="1" outlineLevel="1"/>
    <col min="9" max="9" width="13.5703125" style="55" customWidth="1" outlineLevel="1"/>
    <col min="10" max="10" width="27.7109375" style="55" customWidth="1" outlineLevel="1"/>
    <col min="11" max="11" width="13.85546875" style="55" customWidth="1" outlineLevel="1"/>
    <col min="12" max="12" width="19.5703125" style="55" customWidth="1" outlineLevel="1"/>
    <col min="13" max="13" width="14.140625" style="55" customWidth="1" outlineLevel="1"/>
    <col min="14" max="14" width="6.42578125" style="55" customWidth="1" outlineLevel="1"/>
    <col min="15" max="15" width="24.85546875" style="55" customWidth="1" outlineLevel="1"/>
    <col min="16" max="16" width="19.7109375" style="55" customWidth="1" outlineLevel="1"/>
    <col min="17" max="17" width="16.5703125" style="55" customWidth="1" outlineLevel="1"/>
    <col min="18" max="18" width="19.140625" style="55" customWidth="1" outlineLevel="1"/>
    <col min="19" max="19" width="14.42578125" style="55" hidden="1" customWidth="1" collapsed="1"/>
    <col min="20" max="20" width="23.42578125" style="105" customWidth="1"/>
    <col min="21" max="21" width="22" style="105" customWidth="1"/>
    <col min="22" max="22" width="20.7109375" style="105" customWidth="1"/>
    <col min="23" max="23" width="0.42578125" style="55" hidden="1" customWidth="1"/>
    <col min="24" max="24" width="150.42578125" style="55" customWidth="1" collapsed="1"/>
    <col min="25" max="25" width="9.85546875" style="55" customWidth="1"/>
    <col min="26" max="26" width="14.140625" style="55" customWidth="1"/>
    <col min="27" max="27" width="15.42578125" style="55" customWidth="1"/>
    <col min="28" max="16384" width="9.140625" style="55"/>
  </cols>
  <sheetData>
    <row r="1" spans="1:24" ht="18.75" x14ac:dyDescent="0.25">
      <c r="A1" s="59"/>
    </row>
    <row r="2" spans="1:24" ht="15" x14ac:dyDescent="0.25">
      <c r="A2" s="450" t="s">
        <v>0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</row>
    <row r="3" spans="1:24" ht="15" x14ac:dyDescent="0.25">
      <c r="A3" s="452" t="s">
        <v>1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</row>
    <row r="4" spans="1:24" ht="15" x14ac:dyDescent="0.25">
      <c r="A4" s="452" t="s">
        <v>2</v>
      </c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</row>
    <row r="5" spans="1:24" ht="15" x14ac:dyDescent="0.25">
      <c r="A5" s="453" t="s">
        <v>3</v>
      </c>
      <c r="B5" s="451"/>
      <c r="C5" s="451"/>
      <c r="D5" s="451"/>
      <c r="E5" s="451"/>
      <c r="F5" s="451"/>
      <c r="G5" s="451"/>
      <c r="H5" s="451"/>
      <c r="I5" s="451"/>
      <c r="J5" s="451"/>
      <c r="K5" s="451"/>
      <c r="L5" s="451"/>
      <c r="M5" s="451"/>
      <c r="N5" s="451"/>
      <c r="O5" s="451"/>
      <c r="P5" s="451"/>
      <c r="Q5" s="451"/>
      <c r="R5" s="451"/>
      <c r="S5" s="451"/>
      <c r="T5" s="451"/>
      <c r="U5" s="451"/>
      <c r="V5" s="451"/>
      <c r="W5" s="451"/>
      <c r="X5" s="451"/>
    </row>
    <row r="6" spans="1:24" ht="15" x14ac:dyDescent="0.25">
      <c r="A6" s="450" t="s">
        <v>187</v>
      </c>
      <c r="B6" s="451"/>
      <c r="C6" s="451"/>
      <c r="D6" s="451"/>
      <c r="E6" s="451"/>
      <c r="F6" s="451"/>
      <c r="G6" s="451"/>
      <c r="H6" s="451"/>
      <c r="I6" s="451"/>
      <c r="J6" s="451"/>
      <c r="K6" s="451"/>
      <c r="L6" s="451"/>
      <c r="M6" s="451"/>
      <c r="N6" s="451"/>
      <c r="O6" s="451"/>
      <c r="P6" s="451"/>
      <c r="Q6" s="451"/>
      <c r="R6" s="451"/>
      <c r="S6" s="451"/>
      <c r="T6" s="451"/>
      <c r="U6" s="451"/>
      <c r="V6" s="451"/>
      <c r="W6" s="451"/>
      <c r="X6" s="451"/>
    </row>
    <row r="7" spans="1:24" ht="18.75" x14ac:dyDescent="0.25">
      <c r="A7" s="59"/>
    </row>
    <row r="8" spans="1:24" ht="33.75" customHeight="1" x14ac:dyDescent="0.25">
      <c r="A8" s="383" t="s">
        <v>24</v>
      </c>
      <c r="B8" s="537" t="s">
        <v>4</v>
      </c>
      <c r="C8" s="60"/>
      <c r="D8" s="383" t="s">
        <v>33</v>
      </c>
      <c r="E8" s="383" t="s">
        <v>34</v>
      </c>
      <c r="F8" s="383" t="s">
        <v>36</v>
      </c>
      <c r="G8" s="383"/>
      <c r="H8" s="383"/>
      <c r="I8" s="383"/>
      <c r="J8" s="383"/>
      <c r="K8" s="383"/>
      <c r="L8" s="383"/>
      <c r="M8" s="383"/>
      <c r="N8" s="383"/>
      <c r="O8" s="383"/>
      <c r="P8" s="383"/>
      <c r="Q8" s="383"/>
      <c r="R8" s="383"/>
      <c r="S8" s="60"/>
      <c r="T8" s="537" t="s">
        <v>23</v>
      </c>
      <c r="U8" s="537"/>
      <c r="V8" s="537"/>
      <c r="W8" s="60"/>
      <c r="X8" s="383" t="s">
        <v>120</v>
      </c>
    </row>
    <row r="9" spans="1:24" ht="30.75" customHeight="1" x14ac:dyDescent="0.25">
      <c r="A9" s="383"/>
      <c r="B9" s="537"/>
      <c r="C9" s="60"/>
      <c r="D9" s="437"/>
      <c r="E9" s="437"/>
      <c r="F9" s="437"/>
      <c r="G9" s="437"/>
      <c r="H9" s="437"/>
      <c r="I9" s="437"/>
      <c r="J9" s="437"/>
      <c r="K9" s="437"/>
      <c r="L9" s="437"/>
      <c r="M9" s="437"/>
      <c r="N9" s="437"/>
      <c r="O9" s="437"/>
      <c r="P9" s="437"/>
      <c r="Q9" s="437"/>
      <c r="R9" s="437"/>
      <c r="S9" s="60"/>
      <c r="T9" s="106" t="s">
        <v>179</v>
      </c>
      <c r="U9" s="106" t="s">
        <v>188</v>
      </c>
      <c r="V9" s="106" t="s">
        <v>224</v>
      </c>
      <c r="W9" s="60"/>
      <c r="X9" s="383"/>
    </row>
    <row r="10" spans="1:24" ht="21.75" customHeight="1" x14ac:dyDescent="0.25">
      <c r="A10" s="60">
        <v>1</v>
      </c>
      <c r="B10" s="107">
        <v>2</v>
      </c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107">
        <v>3</v>
      </c>
      <c r="U10" s="107">
        <v>4</v>
      </c>
      <c r="V10" s="107">
        <v>5</v>
      </c>
      <c r="W10" s="60"/>
      <c r="X10" s="61">
        <v>6</v>
      </c>
    </row>
    <row r="11" spans="1:24" ht="72.75" customHeight="1" x14ac:dyDescent="0.25">
      <c r="A11" s="62">
        <v>1</v>
      </c>
      <c r="B11" s="115" t="s">
        <v>86</v>
      </c>
      <c r="C11" s="63"/>
      <c r="D11" s="89" t="s">
        <v>35</v>
      </c>
      <c r="E11" s="89" t="s">
        <v>35</v>
      </c>
      <c r="F11" s="423"/>
      <c r="G11" s="424"/>
      <c r="H11" s="424"/>
      <c r="I11" s="424"/>
      <c r="J11" s="424"/>
      <c r="K11" s="424"/>
      <c r="L11" s="424"/>
      <c r="M11" s="424"/>
      <c r="N11" s="424"/>
      <c r="O11" s="424"/>
      <c r="P11" s="424"/>
      <c r="Q11" s="424"/>
      <c r="R11" s="424"/>
      <c r="S11" s="424"/>
      <c r="T11" s="108">
        <f>T12</f>
        <v>1688640</v>
      </c>
      <c r="U11" s="108">
        <f t="shared" ref="U11:V11" si="0">U12</f>
        <v>1758180</v>
      </c>
      <c r="V11" s="108">
        <f t="shared" si="0"/>
        <v>1830290</v>
      </c>
      <c r="W11" s="63"/>
      <c r="X11" s="73" t="str">
        <f>"Нормативные "&amp;TEXT(B11,"0")&amp;" включают в себя:
нормативные "&amp;TEXT(B12,"0")&amp;""</f>
        <v>Нормативные затраты на информационно-коммуникационные технологии включают в себя:
нормативные затраты на приобретение материальных запасов в сфере информационно-коммуникационных технологий</v>
      </c>
    </row>
    <row r="12" spans="1:24" ht="45" x14ac:dyDescent="0.25">
      <c r="A12" s="74" t="s">
        <v>5</v>
      </c>
      <c r="B12" s="117" t="s">
        <v>92</v>
      </c>
      <c r="C12" s="52"/>
      <c r="D12" s="89" t="s">
        <v>35</v>
      </c>
      <c r="E12" s="89" t="s">
        <v>35</v>
      </c>
      <c r="F12" s="423"/>
      <c r="G12" s="424"/>
      <c r="H12" s="424"/>
      <c r="I12" s="424"/>
      <c r="J12" s="424"/>
      <c r="K12" s="424"/>
      <c r="L12" s="424"/>
      <c r="M12" s="424"/>
      <c r="N12" s="424"/>
      <c r="O12" s="424"/>
      <c r="P12" s="424"/>
      <c r="Q12" s="424"/>
      <c r="R12" s="424"/>
      <c r="S12" s="424"/>
      <c r="T12" s="109">
        <f>SUM(T13,T17)</f>
        <v>1688640</v>
      </c>
      <c r="U12" s="109">
        <f>SUM(U13,U17)</f>
        <v>1758180</v>
      </c>
      <c r="V12" s="109">
        <f>SUM(V13,V17)</f>
        <v>1830290</v>
      </c>
      <c r="W12" s="52"/>
      <c r="X12" s="73" t="str">
        <f>"Нормативные "&amp;TEXT(B12,"0")&amp;" включают в себя:
нормативные "&amp;TEXT(B13,"0")&amp;";
нормативные "&amp;TEXT(B17,"0")&amp;""</f>
        <v>Нормативные затраты на приобретение материальных запасов в сфере информационно-коммуникационных технологий включают в себя:
нормативные затраты на приобретение других запасных частей для вычислительной техники;
нормативные затраты на приобретение деталей для содержания оргтехники (принтеров, многофункциональных устройств и копировальных аппаратов)</v>
      </c>
    </row>
    <row r="13" spans="1:24" ht="84" customHeight="1" x14ac:dyDescent="0.25">
      <c r="A13" s="637" t="s">
        <v>6</v>
      </c>
      <c r="B13" s="617" t="s">
        <v>91</v>
      </c>
      <c r="C13" s="52"/>
      <c r="D13" s="619">
        <v>346</v>
      </c>
      <c r="E13" s="619">
        <v>242</v>
      </c>
      <c r="F13" s="380" t="s">
        <v>152</v>
      </c>
      <c r="G13" s="380"/>
      <c r="H13" s="380"/>
      <c r="I13" s="380"/>
      <c r="J13" s="380"/>
      <c r="K13" s="380"/>
      <c r="L13" s="380"/>
      <c r="M13" s="380"/>
      <c r="N13" s="380"/>
      <c r="O13" s="380"/>
      <c r="P13" s="380"/>
      <c r="Q13" s="380"/>
      <c r="R13" s="380"/>
      <c r="S13" s="65"/>
      <c r="T13" s="477">
        <f>M14</f>
        <v>84690</v>
      </c>
      <c r="U13" s="477">
        <f>M15</f>
        <v>88160</v>
      </c>
      <c r="V13" s="477">
        <f>M16</f>
        <v>91770</v>
      </c>
      <c r="W13" s="52"/>
      <c r="X13" s="73" t="s">
        <v>39</v>
      </c>
    </row>
    <row r="14" spans="1:24" ht="22.5" customHeight="1" x14ac:dyDescent="0.25">
      <c r="A14" s="637"/>
      <c r="B14" s="618"/>
      <c r="C14" s="52"/>
      <c r="D14" s="437"/>
      <c r="E14" s="437"/>
      <c r="F14" s="68" t="s">
        <v>151</v>
      </c>
      <c r="G14" s="98">
        <v>1</v>
      </c>
      <c r="H14" s="67" t="s">
        <v>40</v>
      </c>
      <c r="I14" s="98">
        <f>8142421.47*1.04</f>
        <v>8468118.3288000003</v>
      </c>
      <c r="J14" s="67" t="s">
        <v>41</v>
      </c>
      <c r="K14" s="98">
        <f>ROUND((G14%*I14),2)</f>
        <v>84681.18</v>
      </c>
      <c r="L14" s="67" t="s">
        <v>41</v>
      </c>
      <c r="M14" s="70">
        <f>ROUNDUP((K14),-1)</f>
        <v>84690</v>
      </c>
      <c r="N14" s="71" t="s">
        <v>37</v>
      </c>
      <c r="O14" s="61"/>
      <c r="P14" s="61"/>
      <c r="Q14" s="61"/>
      <c r="R14" s="61"/>
      <c r="S14" s="65"/>
      <c r="T14" s="477"/>
      <c r="U14" s="477"/>
      <c r="V14" s="477"/>
      <c r="W14" s="52"/>
      <c r="X14" s="73" t="str">
        <f>"норматив "&amp;TEXT(G14,"0,0")&amp;" % х "&amp;TEXT(I14,"0 000,00")&amp;" руб. = "&amp;TEXT(K14,"0 000,00")&amp;" руб. = "&amp;TEXT(M14,"0 000,00")&amp;" руб."</f>
        <v>норматив 1,0 % х 8 468 118,33 руб. = 84 681,18 руб. = 84 690,00 руб.</v>
      </c>
    </row>
    <row r="15" spans="1:24" ht="20.25" customHeight="1" x14ac:dyDescent="0.25">
      <c r="A15" s="637"/>
      <c r="B15" s="618"/>
      <c r="C15" s="52"/>
      <c r="D15" s="437"/>
      <c r="E15" s="437"/>
      <c r="F15" s="68" t="s">
        <v>193</v>
      </c>
      <c r="G15" s="98">
        <v>1</v>
      </c>
      <c r="H15" s="67" t="s">
        <v>40</v>
      </c>
      <c r="I15" s="98">
        <f>I14*1.041</f>
        <v>8815311.180280799</v>
      </c>
      <c r="J15" s="67" t="s">
        <v>41</v>
      </c>
      <c r="K15" s="98">
        <f>ROUND((G15%*I15),2)</f>
        <v>88153.11</v>
      </c>
      <c r="L15" s="67" t="s">
        <v>41</v>
      </c>
      <c r="M15" s="70">
        <f>ROUNDUP((K15),-1)</f>
        <v>88160</v>
      </c>
      <c r="N15" s="71" t="s">
        <v>37</v>
      </c>
      <c r="O15" s="61"/>
      <c r="P15" s="61"/>
      <c r="Q15" s="61"/>
      <c r="R15" s="61"/>
      <c r="S15" s="65"/>
      <c r="T15" s="477"/>
      <c r="U15" s="477"/>
      <c r="V15" s="477"/>
      <c r="W15" s="52"/>
      <c r="X15" s="73" t="str">
        <f>"норматив "&amp;TEXT(G15,"0,0")&amp;" % х "&amp;TEXT(I15,"0 000,00")&amp;" руб. = "&amp;TEXT(K15,"0 000,00")&amp;" руб. = "&amp;TEXT(M15,"0 000,00")&amp;" руб."</f>
        <v>норматив 1,0 % х 8 815 311,18 руб. = 88 153,11 руб. = 88 160,00 руб.</v>
      </c>
    </row>
    <row r="16" spans="1:24" ht="21.75" customHeight="1" x14ac:dyDescent="0.25">
      <c r="A16" s="637"/>
      <c r="B16" s="618"/>
      <c r="C16" s="52"/>
      <c r="D16" s="437"/>
      <c r="E16" s="437"/>
      <c r="F16" s="68" t="s">
        <v>226</v>
      </c>
      <c r="G16" s="98">
        <v>1</v>
      </c>
      <c r="H16" s="67" t="s">
        <v>40</v>
      </c>
      <c r="I16" s="98">
        <f>I15*1.041</f>
        <v>9176738.9386723116</v>
      </c>
      <c r="J16" s="67" t="s">
        <v>41</v>
      </c>
      <c r="K16" s="98">
        <f>ROUND((G16%*I16),2)</f>
        <v>91767.39</v>
      </c>
      <c r="L16" s="67" t="s">
        <v>41</v>
      </c>
      <c r="M16" s="70">
        <f>ROUNDUP((K16),-1)</f>
        <v>91770</v>
      </c>
      <c r="N16" s="71" t="s">
        <v>37</v>
      </c>
      <c r="O16" s="61"/>
      <c r="P16" s="61"/>
      <c r="Q16" s="61"/>
      <c r="R16" s="61"/>
      <c r="S16" s="65"/>
      <c r="T16" s="477"/>
      <c r="U16" s="477"/>
      <c r="V16" s="477"/>
      <c r="W16" s="52"/>
      <c r="X16" s="73" t="str">
        <f>"норматив "&amp;TEXT(G16,"0,0")&amp;" % х "&amp;TEXT(I16,"0 000,00")&amp;" руб. = "&amp;TEXT(K16,"0 000,00")&amp;" руб. = "&amp;TEXT(M16,"0 000,00")&amp;" руб."</f>
        <v>норматив 1,0 % х 9 176 738,94 руб. = 91 767,39 руб. = 91 770,00 руб.</v>
      </c>
    </row>
    <row r="17" spans="1:24" ht="162.75" customHeight="1" x14ac:dyDescent="0.25">
      <c r="A17" s="637" t="s">
        <v>225</v>
      </c>
      <c r="B17" s="617" t="s">
        <v>123</v>
      </c>
      <c r="C17" s="64"/>
      <c r="D17" s="619">
        <v>346</v>
      </c>
      <c r="E17" s="619">
        <v>242</v>
      </c>
      <c r="F17" s="380" t="s">
        <v>47</v>
      </c>
      <c r="G17" s="380"/>
      <c r="H17" s="380"/>
      <c r="I17" s="380"/>
      <c r="J17" s="380"/>
      <c r="K17" s="380"/>
      <c r="L17" s="380"/>
      <c r="M17" s="380"/>
      <c r="N17" s="380"/>
      <c r="O17" s="380"/>
      <c r="P17" s="380"/>
      <c r="Q17" s="380"/>
      <c r="R17" s="380"/>
      <c r="S17" s="65"/>
      <c r="T17" s="477">
        <f>M19</f>
        <v>1603950</v>
      </c>
      <c r="U17" s="477">
        <f>M21</f>
        <v>1670020</v>
      </c>
      <c r="V17" s="477">
        <f>M23</f>
        <v>1738520</v>
      </c>
      <c r="W17" s="64"/>
      <c r="X17" s="73" t="s">
        <v>46</v>
      </c>
    </row>
    <row r="18" spans="1:24" ht="15" x14ac:dyDescent="0.25">
      <c r="A18" s="637"/>
      <c r="B18" s="618"/>
      <c r="C18" s="64"/>
      <c r="D18" s="437"/>
      <c r="E18" s="437"/>
      <c r="F18" s="68" t="s">
        <v>156</v>
      </c>
      <c r="G18" s="98">
        <v>25101</v>
      </c>
      <c r="H18" s="67" t="s">
        <v>42</v>
      </c>
      <c r="I18" s="98">
        <v>213</v>
      </c>
      <c r="J18" s="67" t="s">
        <v>45</v>
      </c>
      <c r="K18" s="98">
        <v>5</v>
      </c>
      <c r="L18" s="67" t="s">
        <v>43</v>
      </c>
      <c r="M18" s="98">
        <v>0</v>
      </c>
      <c r="N18" s="67" t="s">
        <v>44</v>
      </c>
      <c r="O18" s="98">
        <f>ROUND((G18*(I18/K18+M18)),2)</f>
        <v>1069302.6000000001</v>
      </c>
      <c r="P18" s="67" t="s">
        <v>37</v>
      </c>
      <c r="Q18" s="67"/>
      <c r="R18" s="65"/>
      <c r="S18" s="65"/>
      <c r="T18" s="477"/>
      <c r="U18" s="477"/>
      <c r="V18" s="477"/>
      <c r="W18" s="64"/>
      <c r="X18" s="459" t="str">
        <f>"норматив "&amp;TEXT(G19,"0,0")&amp;" % х (норматив "&amp;TEXT(G18,"0 000,00")&amp;" руб. х ("&amp;TEXT(I18,"000,00")&amp;" шт.ед. : срок "&amp;TEXT(K18,"0")&amp;" лет + "&amp;TEXT(M18,"0,00")&amp;" шт.ед.) = "&amp;TEXT(O18,"0 000,00")&amp;" руб.) = "&amp;TEXT(K19,"0 000,00")&amp;" руб. = "&amp;TEXT(M19,"0 000,00")&amp;" руб."</f>
        <v>норматив 150,0 % х (норматив 25 101,00 руб. х (213,00 шт.ед. : срок 5 лет + 0,00 шт.ед.) = 1 069 302,60 руб.) = 1 603 953,90 руб. = 1 603 950,00 руб.</v>
      </c>
    </row>
    <row r="19" spans="1:24" ht="15" x14ac:dyDescent="0.25">
      <c r="A19" s="637"/>
      <c r="B19" s="618"/>
      <c r="C19" s="64"/>
      <c r="D19" s="437"/>
      <c r="E19" s="437"/>
      <c r="F19" s="68" t="s">
        <v>227</v>
      </c>
      <c r="G19" s="98">
        <v>150</v>
      </c>
      <c r="H19" s="67" t="s">
        <v>40</v>
      </c>
      <c r="I19" s="98">
        <f>O18</f>
        <v>1069302.6000000001</v>
      </c>
      <c r="J19" s="67" t="s">
        <v>41</v>
      </c>
      <c r="K19" s="98">
        <f>ROUND((G19%*I19),2)</f>
        <v>1603953.9</v>
      </c>
      <c r="L19" s="67" t="s">
        <v>41</v>
      </c>
      <c r="M19" s="70">
        <f>ROUNDDOWN((K19),-1)</f>
        <v>1603950</v>
      </c>
      <c r="N19" s="71" t="s">
        <v>37</v>
      </c>
      <c r="O19" s="61"/>
      <c r="P19" s="61"/>
      <c r="Q19" s="61"/>
      <c r="R19" s="61"/>
      <c r="S19" s="65"/>
      <c r="T19" s="477"/>
      <c r="U19" s="477"/>
      <c r="V19" s="477"/>
      <c r="W19" s="64"/>
      <c r="X19" s="460"/>
    </row>
    <row r="20" spans="1:24" ht="15" x14ac:dyDescent="0.25">
      <c r="A20" s="637"/>
      <c r="B20" s="618"/>
      <c r="C20" s="64"/>
      <c r="D20" s="437"/>
      <c r="E20" s="437"/>
      <c r="F20" s="68" t="s">
        <v>228</v>
      </c>
      <c r="G20" s="98">
        <v>26135</v>
      </c>
      <c r="H20" s="67" t="s">
        <v>42</v>
      </c>
      <c r="I20" s="98">
        <v>213</v>
      </c>
      <c r="J20" s="67" t="s">
        <v>45</v>
      </c>
      <c r="K20" s="98">
        <v>5</v>
      </c>
      <c r="L20" s="67" t="s">
        <v>43</v>
      </c>
      <c r="M20" s="98">
        <v>0</v>
      </c>
      <c r="N20" s="67" t="s">
        <v>44</v>
      </c>
      <c r="O20" s="98">
        <f>ROUND((G20*(I20/K20+M20)),2)</f>
        <v>1113351</v>
      </c>
      <c r="P20" s="67" t="s">
        <v>37</v>
      </c>
      <c r="Q20" s="67"/>
      <c r="R20" s="65"/>
      <c r="S20" s="65"/>
      <c r="T20" s="477"/>
      <c r="U20" s="477"/>
      <c r="V20" s="477"/>
      <c r="W20" s="64"/>
      <c r="X20" s="459" t="str">
        <f>"норматив "&amp;TEXT(G21,"0,0")&amp;" % х (норматив "&amp;TEXT(G20,"0 000,00")&amp;" руб. х ("&amp;TEXT(I20,"000,00")&amp;" шт.ед. : срок "&amp;TEXT(K20,"0")&amp;" лет + "&amp;TEXT(M20,"0,00")&amp;" шт.ед.) = "&amp;TEXT(O20,"0 000,00")&amp;" руб.) = "&amp;TEXT(K21,"0 000,00")&amp;" руб. = "&amp;TEXT(M21,"0 000,00")&amp;" руб."</f>
        <v>норматив 150,0 % х (норматив 26 135,00 руб. х (213,00 шт.ед. : срок 5 лет + 0,00 шт.ед.) = 1 113 351,00 руб.) = 1 670 026,50 руб. = 1 670 020,00 руб.</v>
      </c>
    </row>
    <row r="21" spans="1:24" ht="15" x14ac:dyDescent="0.25">
      <c r="A21" s="637"/>
      <c r="B21" s="618"/>
      <c r="C21" s="64"/>
      <c r="D21" s="437"/>
      <c r="E21" s="437"/>
      <c r="F21" s="68" t="s">
        <v>193</v>
      </c>
      <c r="G21" s="98">
        <v>150</v>
      </c>
      <c r="H21" s="67" t="s">
        <v>40</v>
      </c>
      <c r="I21" s="98">
        <f>O20</f>
        <v>1113351</v>
      </c>
      <c r="J21" s="67" t="s">
        <v>41</v>
      </c>
      <c r="K21" s="98">
        <f>ROUND((G21%*I21),2)</f>
        <v>1670026.5</v>
      </c>
      <c r="L21" s="67" t="s">
        <v>41</v>
      </c>
      <c r="M21" s="70">
        <f>ROUNDDOWN((K21),-1)</f>
        <v>1670020</v>
      </c>
      <c r="N21" s="71" t="s">
        <v>37</v>
      </c>
      <c r="O21" s="61"/>
      <c r="P21" s="61"/>
      <c r="Q21" s="61"/>
      <c r="R21" s="61"/>
      <c r="S21" s="65"/>
      <c r="T21" s="638"/>
      <c r="U21" s="638"/>
      <c r="V21" s="638"/>
      <c r="W21" s="64"/>
      <c r="X21" s="460"/>
    </row>
    <row r="22" spans="1:24" ht="15" x14ac:dyDescent="0.25">
      <c r="A22" s="637"/>
      <c r="B22" s="618"/>
      <c r="C22" s="64"/>
      <c r="D22" s="437"/>
      <c r="E22" s="437"/>
      <c r="F22" s="68" t="s">
        <v>229</v>
      </c>
      <c r="G22" s="98">
        <v>27207</v>
      </c>
      <c r="H22" s="67" t="s">
        <v>42</v>
      </c>
      <c r="I22" s="98">
        <v>213</v>
      </c>
      <c r="J22" s="67" t="s">
        <v>45</v>
      </c>
      <c r="K22" s="98">
        <v>5</v>
      </c>
      <c r="L22" s="67" t="s">
        <v>43</v>
      </c>
      <c r="M22" s="98">
        <v>0</v>
      </c>
      <c r="N22" s="67" t="s">
        <v>44</v>
      </c>
      <c r="O22" s="98">
        <f>ROUND((G22*(I22/K22+M22)),2)</f>
        <v>1159018.2</v>
      </c>
      <c r="P22" s="67" t="s">
        <v>37</v>
      </c>
      <c r="Q22" s="67"/>
      <c r="R22" s="65"/>
      <c r="S22" s="61"/>
      <c r="T22" s="638"/>
      <c r="U22" s="638"/>
      <c r="V22" s="638"/>
      <c r="W22" s="64"/>
      <c r="X22" s="459" t="str">
        <f>"норматив "&amp;TEXT(G23,"0,0")&amp;" % х (норматив "&amp;TEXT(G22,"0 000,00")&amp;" руб. х ("&amp;TEXT(I22,"000,00")&amp;" шт.ед. : срок "&amp;TEXT(K22,"0")&amp;" лет + "&amp;TEXT(M22,"0,00")&amp;" шт.ед.) = "&amp;TEXT(O22,"0 000,00")&amp;" руб.) = "&amp;TEXT(K23,"0 000,00")&amp;" руб. = "&amp;TEXT(M23,"0 000,00")&amp;" руб."</f>
        <v>норматив 150,0 % х (норматив 27 207,00 руб. х (213,00 шт.ед. : срок 5 лет + 0,00 шт.ед.) = 1 159 018,20 руб.) = 1 738 527,30 руб. = 1 738 520,00 руб.</v>
      </c>
    </row>
    <row r="23" spans="1:24" ht="21" customHeight="1" x14ac:dyDescent="0.25">
      <c r="A23" s="637"/>
      <c r="B23" s="618"/>
      <c r="C23" s="52"/>
      <c r="D23" s="437"/>
      <c r="E23" s="437"/>
      <c r="F23" s="68" t="s">
        <v>226</v>
      </c>
      <c r="G23" s="98">
        <v>150</v>
      </c>
      <c r="H23" s="67" t="s">
        <v>40</v>
      </c>
      <c r="I23" s="98">
        <f>O22</f>
        <v>1159018.2</v>
      </c>
      <c r="J23" s="67" t="s">
        <v>41</v>
      </c>
      <c r="K23" s="129">
        <f>ROUND((G23%*I23),2)</f>
        <v>1738527.3</v>
      </c>
      <c r="L23" s="67" t="s">
        <v>41</v>
      </c>
      <c r="M23" s="70">
        <f>ROUNDDOWN((K23),-1)</f>
        <v>1738520</v>
      </c>
      <c r="N23" s="71" t="s">
        <v>37</v>
      </c>
      <c r="O23" s="61"/>
      <c r="P23" s="61"/>
      <c r="Q23" s="61"/>
      <c r="R23" s="61"/>
      <c r="S23" s="65"/>
      <c r="T23" s="638"/>
      <c r="U23" s="638"/>
      <c r="V23" s="638"/>
      <c r="W23" s="52"/>
      <c r="X23" s="460"/>
    </row>
    <row r="24" spans="1:24" ht="150" customHeight="1" x14ac:dyDescent="0.25">
      <c r="A24" s="62">
        <v>2</v>
      </c>
      <c r="B24" s="115" t="s">
        <v>118</v>
      </c>
      <c r="C24" s="63"/>
      <c r="D24" s="89" t="s">
        <v>35</v>
      </c>
      <c r="E24" s="89" t="s">
        <v>35</v>
      </c>
      <c r="F24" s="439"/>
      <c r="G24" s="424"/>
      <c r="H24" s="424"/>
      <c r="I24" s="424"/>
      <c r="J24" s="424"/>
      <c r="K24" s="424"/>
      <c r="L24" s="424"/>
      <c r="M24" s="424"/>
      <c r="N24" s="424"/>
      <c r="O24" s="424"/>
      <c r="P24" s="424"/>
      <c r="Q24" s="424"/>
      <c r="R24" s="424"/>
      <c r="S24" s="424"/>
      <c r="T24" s="108">
        <f>SUM(T25,T76,T104,T119,T143)</f>
        <v>10109600</v>
      </c>
      <c r="U24" s="108">
        <f>SUM(U25,U76,U104,U119,U143)</f>
        <v>10528900</v>
      </c>
      <c r="V24" s="108">
        <f>SUM(V25,V76,V104,V119,V143)</f>
        <v>10968000</v>
      </c>
      <c r="W24" s="63"/>
      <c r="X24" s="73" t="str">
        <f>"Нормативные "&amp;TEXT(B24,"0")&amp;" включают в себя:
нормативные "&amp;TEXT(B25,"0")&amp;";
нормативные "&amp;TEXT(B76,"0")&amp;" "&amp;TEXT(B77,"0")&amp;";
нормативные "&amp;TEXT(B104,"0")&amp;";
нормативные "&amp;TEXT(B119,"0")&amp;";
нормативные "&amp;TEXT(B143,"0")&amp;""</f>
        <v>Нормативные прочие затраты (в том числе затраты на закупку товаров, работ и услуг в целях оказания государственных услуг (выполнения работ)и реализации государственных функций), не указанные в подпунктах "а"-"ж" пункта 6 Общих правил включают в себя:
нормативные затраты на содержание имущества;
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
нормативные затраты на приобретение основных средств;
нормативные затраты на приобретение материальных запасов, не отнесенные к затратам, указанным в подпунктах "а"-"ж" пункта 6 Общих правил:;
нормативные иные прочие затраты, не отнесенные к иным затратам, указанным в подпунктах "а"-"ж" пункта 6 Общих правил</v>
      </c>
    </row>
    <row r="25" spans="1:24" ht="85.5" customHeight="1" x14ac:dyDescent="0.25">
      <c r="A25" s="60" t="s">
        <v>9</v>
      </c>
      <c r="B25" s="117" t="s">
        <v>117</v>
      </c>
      <c r="C25" s="52"/>
      <c r="D25" s="89" t="s">
        <v>35</v>
      </c>
      <c r="E25" s="89" t="s">
        <v>35</v>
      </c>
      <c r="F25" s="423"/>
      <c r="G25" s="424"/>
      <c r="H25" s="424"/>
      <c r="I25" s="424"/>
      <c r="J25" s="424"/>
      <c r="K25" s="424"/>
      <c r="L25" s="424"/>
      <c r="M25" s="424"/>
      <c r="N25" s="424"/>
      <c r="O25" s="424"/>
      <c r="P25" s="424"/>
      <c r="Q25" s="424"/>
      <c r="R25" s="424"/>
      <c r="S25" s="424"/>
      <c r="T25" s="108">
        <f>SUM(T26,T42)</f>
        <v>123200</v>
      </c>
      <c r="U25" s="108">
        <f t="shared" ref="U25:V25" si="1">SUM(U26,U42)</f>
        <v>128200</v>
      </c>
      <c r="V25" s="108">
        <f t="shared" si="1"/>
        <v>133700</v>
      </c>
      <c r="W25" s="52"/>
      <c r="X25" s="73" t="str">
        <f>"Нормативные "&amp;TEXT(B25,"0")&amp;" включают в себя:
нормативные "&amp;TEXT(B26,"0")&amp;"; нормативные "&amp;TEXT(B64,"0")&amp;";
нормативные "&amp;TEXT(B42,"0")&amp;""</f>
        <v>Нормативные затраты на содержание имущества включают в себя:
нормативные затраты на техническое обслуживание и ремонт транспортных средств; нормативные иные затраты на техническое обслуживание и содержание имущества;
нормативные затраты на техническое обслуживание и регламентно-профилактический ремонт иного оборудования</v>
      </c>
    </row>
    <row r="26" spans="1:24" ht="66.75" customHeight="1" x14ac:dyDescent="0.25">
      <c r="A26" s="74" t="s">
        <v>10</v>
      </c>
      <c r="B26" s="118" t="s">
        <v>112</v>
      </c>
      <c r="C26" s="52"/>
      <c r="D26" s="89" t="s">
        <v>35</v>
      </c>
      <c r="E26" s="89" t="s">
        <v>35</v>
      </c>
      <c r="F26" s="423"/>
      <c r="G26" s="424"/>
      <c r="H26" s="424"/>
      <c r="I26" s="424"/>
      <c r="J26" s="424"/>
      <c r="K26" s="424"/>
      <c r="L26" s="424"/>
      <c r="M26" s="424"/>
      <c r="N26" s="424"/>
      <c r="O26" s="424"/>
      <c r="P26" s="424"/>
      <c r="Q26" s="424"/>
      <c r="R26" s="424"/>
      <c r="S26" s="424"/>
      <c r="T26" s="126">
        <f>SUM(T27,T32,T37)</f>
        <v>15400</v>
      </c>
      <c r="U26" s="126">
        <f t="shared" ref="U26:V26" si="2">SUM(U27,U32,U37)</f>
        <v>16000</v>
      </c>
      <c r="V26" s="126">
        <f t="shared" si="2"/>
        <v>16800</v>
      </c>
      <c r="W26" s="52"/>
      <c r="X26" s="73" t="str">
        <f>"Нормативные "&amp;TEXT(B26,"0")&amp;" включают в себя:
нормативные "&amp;TEXT(B27,"0")&amp;"; нормативные "&amp;TEXT(B64,"0")&amp;";
нормативные "&amp;TEXT(B37,"0")&amp;""</f>
        <v>Нормативные затраты на техническое обслуживание и ремонт транспортных средств включают в себя:
нормативные затраты на техническое обслуживание автомобиля; нормативные иные затраты на техническое обслуживание и содержание имущества;
нормативные затраты на ремонт автомобиля</v>
      </c>
    </row>
    <row r="27" spans="1:24" ht="120" customHeight="1" x14ac:dyDescent="0.25">
      <c r="A27" s="567" t="s">
        <v>162</v>
      </c>
      <c r="B27" s="635" t="s">
        <v>113</v>
      </c>
      <c r="C27" s="64"/>
      <c r="D27" s="619">
        <v>225</v>
      </c>
      <c r="E27" s="619">
        <v>244</v>
      </c>
      <c r="F27" s="380"/>
      <c r="G27" s="380"/>
      <c r="H27" s="380"/>
      <c r="I27" s="380"/>
      <c r="J27" s="380"/>
      <c r="K27" s="380"/>
      <c r="L27" s="380"/>
      <c r="M27" s="380"/>
      <c r="N27" s="380"/>
      <c r="O27" s="380"/>
      <c r="P27" s="380"/>
      <c r="Q27" s="380"/>
      <c r="R27" s="380"/>
      <c r="S27" s="65"/>
      <c r="T27" s="477">
        <f>O29</f>
        <v>12000</v>
      </c>
      <c r="U27" s="477">
        <f>O30</f>
        <v>12500</v>
      </c>
      <c r="V27" s="477">
        <f>O31</f>
        <v>13100</v>
      </c>
      <c r="W27" s="64"/>
      <c r="X27" s="73" t="s">
        <v>83</v>
      </c>
    </row>
    <row r="28" spans="1:24" ht="18" customHeight="1" outlineLevel="1" x14ac:dyDescent="0.25">
      <c r="A28" s="567"/>
      <c r="B28" s="636"/>
      <c r="C28" s="64"/>
      <c r="D28" s="437"/>
      <c r="E28" s="620"/>
      <c r="F28" s="61"/>
      <c r="G28" s="98"/>
      <c r="H28" s="67" t="s">
        <v>81</v>
      </c>
      <c r="I28" s="98">
        <v>1</v>
      </c>
      <c r="J28" s="67" t="s">
        <v>73</v>
      </c>
      <c r="K28" s="98"/>
      <c r="L28" s="67" t="s">
        <v>41</v>
      </c>
      <c r="M28" s="98">
        <v>0</v>
      </c>
      <c r="N28" s="67" t="s">
        <v>37</v>
      </c>
      <c r="O28" s="67"/>
      <c r="P28" s="67"/>
      <c r="Q28" s="67"/>
      <c r="R28" s="65"/>
      <c r="S28" s="65"/>
      <c r="T28" s="477"/>
      <c r="U28" s="477"/>
      <c r="V28" s="477"/>
      <c r="W28" s="64"/>
    </row>
    <row r="29" spans="1:24" ht="24" customHeight="1" x14ac:dyDescent="0.25">
      <c r="A29" s="567"/>
      <c r="B29" s="636"/>
      <c r="C29" s="64"/>
      <c r="D29" s="437"/>
      <c r="E29" s="620"/>
      <c r="F29" s="68" t="s">
        <v>151</v>
      </c>
      <c r="G29" s="98">
        <v>1</v>
      </c>
      <c r="H29" s="65" t="s">
        <v>230</v>
      </c>
      <c r="I29" s="98">
        <v>1</v>
      </c>
      <c r="J29" s="67" t="s">
        <v>25</v>
      </c>
      <c r="K29" s="129">
        <v>12000</v>
      </c>
      <c r="L29" s="67" t="s">
        <v>41</v>
      </c>
      <c r="M29" s="98">
        <f>ROUND((G29*I29*K29),2)</f>
        <v>12000</v>
      </c>
      <c r="N29" s="71" t="s">
        <v>37</v>
      </c>
      <c r="O29" s="70">
        <f>ROUNDUP((M29),-2)</f>
        <v>12000</v>
      </c>
      <c r="P29" s="71" t="s">
        <v>37</v>
      </c>
      <c r="Q29" s="72"/>
      <c r="R29" s="72"/>
      <c r="S29" s="65"/>
      <c r="T29" s="477"/>
      <c r="U29" s="477"/>
      <c r="V29" s="477"/>
      <c r="W29" s="64"/>
      <c r="X29" s="73" t="str">
        <f>""&amp;TEXT(I29,"0,0")&amp;" авт. х "&amp;TEXT(I29,"0,0")&amp;" раз х "&amp;TEXT(ROUND((K29),2),"0 000,00")&amp;" руб. = "&amp;TEXT(ROUND((M29),2),"0 000,00")&amp;" руб. = "&amp;TEXT(O29,"0 000,00")&amp;" руб."</f>
        <v>1,0 авт. х 1,0 раз х 12 000,00 руб. = 12 000,00 руб. = 12 000,00 руб.</v>
      </c>
    </row>
    <row r="30" spans="1:24" ht="20.25" customHeight="1" x14ac:dyDescent="0.25">
      <c r="A30" s="567"/>
      <c r="B30" s="636"/>
      <c r="C30" s="64"/>
      <c r="D30" s="437"/>
      <c r="E30" s="620"/>
      <c r="F30" s="68" t="s">
        <v>193</v>
      </c>
      <c r="G30" s="98">
        <v>1</v>
      </c>
      <c r="H30" s="67" t="str">
        <f>H29</f>
        <v xml:space="preserve">авт.  х индекс потребительских цен </v>
      </c>
      <c r="I30" s="98">
        <v>1</v>
      </c>
      <c r="J30" s="67" t="s">
        <v>25</v>
      </c>
      <c r="K30" s="129">
        <f>K29*1.041</f>
        <v>12492</v>
      </c>
      <c r="L30" s="67" t="s">
        <v>41</v>
      </c>
      <c r="M30" s="98">
        <f>ROUND((G30*I30*K30),2)</f>
        <v>12492</v>
      </c>
      <c r="N30" s="71" t="s">
        <v>37</v>
      </c>
      <c r="O30" s="70">
        <f>ROUNDUP((M30),-2)</f>
        <v>12500</v>
      </c>
      <c r="P30" s="71" t="s">
        <v>37</v>
      </c>
      <c r="Q30" s="72"/>
      <c r="R30" s="72"/>
      <c r="S30" s="72"/>
      <c r="T30" s="477"/>
      <c r="U30" s="477"/>
      <c r="V30" s="477"/>
      <c r="W30" s="64"/>
      <c r="X30" s="73" t="str">
        <f t="shared" ref="X30:X31" si="3">""&amp;TEXT(I30,"0,0")&amp;" авт. х "&amp;TEXT(I30,"0,0")&amp;" раз х "&amp;TEXT(ROUND((K30),2),"0 000,00")&amp;" руб. = "&amp;TEXT(ROUND((M30),2),"0 000,00")&amp;" руб. = "&amp;TEXT(O30,"0 000,00")&amp;" руб."</f>
        <v>1,0 авт. х 1,0 раз х 12 492,00 руб. = 12 492,00 руб. = 12 500,00 руб.</v>
      </c>
    </row>
    <row r="31" spans="1:24" ht="21.75" customHeight="1" x14ac:dyDescent="0.25">
      <c r="A31" s="567"/>
      <c r="B31" s="636"/>
      <c r="C31" s="64"/>
      <c r="D31" s="437"/>
      <c r="E31" s="620"/>
      <c r="F31" s="68" t="s">
        <v>226</v>
      </c>
      <c r="G31" s="98">
        <v>1</v>
      </c>
      <c r="H31" s="67" t="str">
        <f>H29</f>
        <v xml:space="preserve">авт.  х индекс потребительских цен </v>
      </c>
      <c r="I31" s="98">
        <v>1</v>
      </c>
      <c r="J31" s="67" t="s">
        <v>25</v>
      </c>
      <c r="K31" s="129">
        <f>K30*1.041</f>
        <v>13004.171999999999</v>
      </c>
      <c r="L31" s="67" t="s">
        <v>41</v>
      </c>
      <c r="M31" s="98">
        <f>ROUND((G31*I31*K31),2)</f>
        <v>13004.17</v>
      </c>
      <c r="N31" s="71" t="s">
        <v>37</v>
      </c>
      <c r="O31" s="70">
        <f>ROUNDUP((M31),-2)</f>
        <v>13100</v>
      </c>
      <c r="P31" s="71" t="s">
        <v>37</v>
      </c>
      <c r="Q31" s="70"/>
      <c r="R31" s="71"/>
      <c r="S31" s="71"/>
      <c r="T31" s="477"/>
      <c r="U31" s="477"/>
      <c r="V31" s="477"/>
      <c r="W31" s="64"/>
      <c r="X31" s="73" t="str">
        <f t="shared" si="3"/>
        <v>1,0 авт. х 1,0 раз х 13 004,17 руб. = 13 004,17 руб. = 13 100,00 руб.</v>
      </c>
    </row>
    <row r="32" spans="1:24" ht="120.75" customHeight="1" x14ac:dyDescent="0.25">
      <c r="A32" s="468" t="s">
        <v>163</v>
      </c>
      <c r="B32" s="617" t="s">
        <v>114</v>
      </c>
      <c r="C32" s="64"/>
      <c r="D32" s="619">
        <v>225</v>
      </c>
      <c r="E32" s="619">
        <v>244</v>
      </c>
      <c r="F32" s="380" t="s">
        <v>178</v>
      </c>
      <c r="G32" s="380"/>
      <c r="H32" s="380"/>
      <c r="I32" s="380"/>
      <c r="J32" s="380"/>
      <c r="K32" s="380"/>
      <c r="L32" s="380"/>
      <c r="M32" s="380"/>
      <c r="N32" s="380"/>
      <c r="O32" s="380"/>
      <c r="P32" s="380"/>
      <c r="Q32" s="380"/>
      <c r="R32" s="380"/>
      <c r="S32" s="65"/>
      <c r="T32" s="477">
        <f>O34</f>
        <v>1300</v>
      </c>
      <c r="U32" s="477">
        <f>O35</f>
        <v>1300</v>
      </c>
      <c r="V32" s="477">
        <f>O36</f>
        <v>1400</v>
      </c>
      <c r="W32" s="64"/>
      <c r="X32" s="73" t="s">
        <v>82</v>
      </c>
    </row>
    <row r="33" spans="1:24" ht="21.75" customHeight="1" outlineLevel="1" x14ac:dyDescent="0.25">
      <c r="A33" s="468"/>
      <c r="B33" s="618"/>
      <c r="C33" s="64"/>
      <c r="D33" s="437"/>
      <c r="E33" s="437"/>
      <c r="F33" s="61">
        <v>2021</v>
      </c>
      <c r="G33" s="98"/>
      <c r="H33" s="67" t="s">
        <v>81</v>
      </c>
      <c r="I33" s="98">
        <v>1</v>
      </c>
      <c r="J33" s="67" t="s">
        <v>177</v>
      </c>
      <c r="K33" s="98">
        <v>1168.28</v>
      </c>
      <c r="L33" s="67" t="s">
        <v>41</v>
      </c>
      <c r="M33" s="98">
        <f>ROUND((G33*I33*K33),2)</f>
        <v>0</v>
      </c>
      <c r="N33" s="67" t="s">
        <v>37</v>
      </c>
      <c r="O33" s="67"/>
      <c r="P33" s="67"/>
      <c r="Q33" s="67"/>
      <c r="R33" s="65"/>
      <c r="S33" s="65"/>
      <c r="T33" s="477"/>
      <c r="U33" s="477"/>
      <c r="V33" s="477"/>
      <c r="W33" s="64"/>
    </row>
    <row r="34" spans="1:24" ht="21" customHeight="1" x14ac:dyDescent="0.25">
      <c r="A34" s="468"/>
      <c r="B34" s="618"/>
      <c r="C34" s="64"/>
      <c r="D34" s="437"/>
      <c r="E34" s="437"/>
      <c r="F34" s="68" t="s">
        <v>151</v>
      </c>
      <c r="G34" s="98">
        <v>1</v>
      </c>
      <c r="H34" s="65" t="s">
        <v>195</v>
      </c>
      <c r="I34" s="69">
        <v>1</v>
      </c>
      <c r="J34" s="67" t="s">
        <v>25</v>
      </c>
      <c r="K34" s="129">
        <f>K33*1.04</f>
        <v>1215.0111999999999</v>
      </c>
      <c r="L34" s="67" t="s">
        <v>41</v>
      </c>
      <c r="M34" s="98">
        <f>ROUND((G34*I34*K34),2)</f>
        <v>1215.01</v>
      </c>
      <c r="N34" s="71" t="s">
        <v>37</v>
      </c>
      <c r="O34" s="70">
        <f>ROUNDUP((M34),-2)</f>
        <v>1300</v>
      </c>
      <c r="P34" s="71" t="s">
        <v>37</v>
      </c>
      <c r="Q34" s="72"/>
      <c r="R34" s="72"/>
      <c r="S34" s="65"/>
      <c r="T34" s="477"/>
      <c r="U34" s="477"/>
      <c r="V34" s="477"/>
      <c r="W34" s="64"/>
      <c r="X34" s="73" t="str">
        <f>""&amp;TEXT(G34,"0,0")&amp;" авт. х "&amp;TEXT(I34,"0,0")&amp;" раз х "&amp;TEXT(ROUND((K34),2),"000,00")&amp;" руб. = "&amp;TEXT(ROUND((M34),2),"000,00")&amp;" руб. = "&amp;TEXT(O34,"0 000,00")&amp;" руб."</f>
        <v>1,0 авт. х 1,0 раз х 1215,01 руб. = 1215,01 руб. = 1 300,00 руб.</v>
      </c>
    </row>
    <row r="35" spans="1:24" ht="21" customHeight="1" x14ac:dyDescent="0.25">
      <c r="A35" s="468"/>
      <c r="B35" s="618"/>
      <c r="C35" s="64"/>
      <c r="D35" s="437"/>
      <c r="E35" s="437"/>
      <c r="F35" s="68" t="s">
        <v>193</v>
      </c>
      <c r="G35" s="98">
        <v>1</v>
      </c>
      <c r="H35" s="65" t="s">
        <v>195</v>
      </c>
      <c r="I35" s="69">
        <v>1</v>
      </c>
      <c r="J35" s="67" t="s">
        <v>25</v>
      </c>
      <c r="K35" s="129">
        <f>K34*1.041</f>
        <v>1264.8266591999998</v>
      </c>
      <c r="L35" s="67" t="s">
        <v>41</v>
      </c>
      <c r="M35" s="98">
        <f>ROUND((G35*I35*K35),2)</f>
        <v>1264.83</v>
      </c>
      <c r="N35" s="67" t="s">
        <v>41</v>
      </c>
      <c r="O35" s="70">
        <f>ROUNDUP((M35),-2)</f>
        <v>1300</v>
      </c>
      <c r="P35" s="71" t="s">
        <v>37</v>
      </c>
      <c r="Q35" s="72"/>
      <c r="R35" s="72"/>
      <c r="S35" s="65"/>
      <c r="T35" s="477"/>
      <c r="U35" s="477"/>
      <c r="V35" s="477"/>
      <c r="W35" s="64"/>
      <c r="X35" s="73" t="str">
        <f t="shared" ref="X35:X36" si="4">""&amp;TEXT(G35,"0,0")&amp;" авт. х "&amp;TEXT(I35,"0,0")&amp;" раз х "&amp;TEXT(ROUND((K35),2),"000,00")&amp;" руб. = "&amp;TEXT(ROUND((M35),2),"000,00")&amp;" руб. = "&amp;TEXT(O35,"0 000,00")&amp;" руб."</f>
        <v>1,0 авт. х 1,0 раз х 1264,83 руб. = 1264,83 руб. = 1 300,00 руб.</v>
      </c>
    </row>
    <row r="36" spans="1:24" ht="21" customHeight="1" x14ac:dyDescent="0.25">
      <c r="A36" s="468"/>
      <c r="B36" s="618"/>
      <c r="C36" s="64"/>
      <c r="D36" s="437"/>
      <c r="E36" s="437"/>
      <c r="F36" s="68" t="s">
        <v>226</v>
      </c>
      <c r="G36" s="98">
        <v>1</v>
      </c>
      <c r="H36" s="65" t="s">
        <v>195</v>
      </c>
      <c r="I36" s="69">
        <v>1</v>
      </c>
      <c r="J36" s="67" t="s">
        <v>25</v>
      </c>
      <c r="K36" s="129">
        <f>K35*1.041</f>
        <v>1316.6845522271997</v>
      </c>
      <c r="L36" s="67" t="s">
        <v>41</v>
      </c>
      <c r="M36" s="98">
        <f>ROUND((G36*I36*K36),2)</f>
        <v>1316.68</v>
      </c>
      <c r="N36" s="67" t="s">
        <v>25</v>
      </c>
      <c r="O36" s="70">
        <f>ROUNDUP((M36),-2)</f>
        <v>1400</v>
      </c>
      <c r="P36" s="71" t="s">
        <v>37</v>
      </c>
      <c r="Q36" s="70">
        <f>ROUNDUP((O36),-2)</f>
        <v>1400</v>
      </c>
      <c r="R36" s="71" t="s">
        <v>37</v>
      </c>
      <c r="S36" s="65"/>
      <c r="T36" s="478"/>
      <c r="U36" s="478"/>
      <c r="V36" s="478"/>
      <c r="W36" s="64"/>
      <c r="X36" s="73" t="str">
        <f t="shared" si="4"/>
        <v>1,0 авт. х 1,0 раз х 1316,68 руб. = 1316,68 руб. = 1 400,00 руб.</v>
      </c>
    </row>
    <row r="37" spans="1:24" ht="117.75" customHeight="1" x14ac:dyDescent="0.25">
      <c r="A37" s="567" t="s">
        <v>201</v>
      </c>
      <c r="B37" s="617" t="s">
        <v>202</v>
      </c>
      <c r="C37" s="64"/>
      <c r="D37" s="619">
        <v>225</v>
      </c>
      <c r="E37" s="619">
        <v>244</v>
      </c>
      <c r="F37" s="380" t="s">
        <v>178</v>
      </c>
      <c r="G37" s="380"/>
      <c r="H37" s="380"/>
      <c r="I37" s="380"/>
      <c r="J37" s="380"/>
      <c r="K37" s="380"/>
      <c r="L37" s="380"/>
      <c r="M37" s="380"/>
      <c r="N37" s="380"/>
      <c r="O37" s="380"/>
      <c r="P37" s="380"/>
      <c r="Q37" s="380"/>
      <c r="R37" s="380"/>
      <c r="S37" s="65"/>
      <c r="T37" s="477">
        <f>O39</f>
        <v>2100</v>
      </c>
      <c r="U37" s="477">
        <f>O40</f>
        <v>2200</v>
      </c>
      <c r="V37" s="477">
        <f>O41</f>
        <v>2300</v>
      </c>
      <c r="W37" s="64"/>
      <c r="X37" s="73" t="s">
        <v>212</v>
      </c>
    </row>
    <row r="38" spans="1:24" ht="21.75" customHeight="1" outlineLevel="1" x14ac:dyDescent="0.25">
      <c r="A38" s="567"/>
      <c r="B38" s="618"/>
      <c r="C38" s="64"/>
      <c r="D38" s="437"/>
      <c r="E38" s="437"/>
      <c r="F38" s="61">
        <v>2021</v>
      </c>
      <c r="G38" s="98">
        <v>1</v>
      </c>
      <c r="H38" s="67" t="s">
        <v>81</v>
      </c>
      <c r="I38" s="98">
        <v>1</v>
      </c>
      <c r="J38" s="67" t="s">
        <v>177</v>
      </c>
      <c r="K38" s="98">
        <v>1966.67</v>
      </c>
      <c r="L38" s="67" t="s">
        <v>41</v>
      </c>
      <c r="M38" s="98">
        <f>ROUND((G38*I38*K38),2)</f>
        <v>1966.67</v>
      </c>
      <c r="N38" s="67" t="s">
        <v>37</v>
      </c>
      <c r="O38" s="67"/>
      <c r="P38" s="67"/>
      <c r="Q38" s="67"/>
      <c r="R38" s="65"/>
      <c r="S38" s="65"/>
      <c r="T38" s="477"/>
      <c r="U38" s="477"/>
      <c r="V38" s="477"/>
      <c r="W38" s="64"/>
    </row>
    <row r="39" spans="1:24" ht="21" customHeight="1" x14ac:dyDescent="0.25">
      <c r="A39" s="567"/>
      <c r="B39" s="618"/>
      <c r="C39" s="64"/>
      <c r="D39" s="437"/>
      <c r="E39" s="437"/>
      <c r="F39" s="68" t="s">
        <v>151</v>
      </c>
      <c r="G39" s="98">
        <v>1</v>
      </c>
      <c r="H39" s="65" t="s">
        <v>195</v>
      </c>
      <c r="I39" s="69">
        <v>1</v>
      </c>
      <c r="J39" s="67" t="s">
        <v>25</v>
      </c>
      <c r="K39" s="129">
        <f>K38*1.04</f>
        <v>2045.3368</v>
      </c>
      <c r="L39" s="67" t="s">
        <v>41</v>
      </c>
      <c r="M39" s="98">
        <f>ROUND((G39*I39*K39),2)</f>
        <v>2045.34</v>
      </c>
      <c r="N39" s="71" t="s">
        <v>37</v>
      </c>
      <c r="O39" s="70">
        <f>ROUNDUP((M39),-2)</f>
        <v>2100</v>
      </c>
      <c r="P39" s="71" t="s">
        <v>37</v>
      </c>
      <c r="Q39" s="72"/>
      <c r="R39" s="72"/>
      <c r="S39" s="65"/>
      <c r="T39" s="477"/>
      <c r="U39" s="477"/>
      <c r="V39" s="477"/>
      <c r="W39" s="64"/>
      <c r="X39" s="73" t="str">
        <f>""&amp;TEXT(G39,"0,0")&amp;" авт. х "&amp;TEXT(I39,"0,0")&amp;" раз. х  "&amp;TEXT((K39),"000,00")&amp;" руб. = "&amp;TEXT((M39),"0 000,00")&amp;" руб. = "&amp;TEXT(O39,"0 000,00")&amp;" руб."</f>
        <v>1,0 авт. х 1,0 раз. х  2045,34 руб. = 2 045,34 руб. = 2 100,00 руб.</v>
      </c>
    </row>
    <row r="40" spans="1:24" ht="21" customHeight="1" x14ac:dyDescent="0.25">
      <c r="A40" s="567"/>
      <c r="B40" s="618"/>
      <c r="C40" s="64"/>
      <c r="D40" s="437"/>
      <c r="E40" s="437"/>
      <c r="F40" s="68" t="s">
        <v>193</v>
      </c>
      <c r="G40" s="98">
        <v>1</v>
      </c>
      <c r="H40" s="65" t="s">
        <v>195</v>
      </c>
      <c r="I40" s="69">
        <v>1</v>
      </c>
      <c r="J40" s="67" t="s">
        <v>25</v>
      </c>
      <c r="K40" s="129">
        <f>K39*1.041</f>
        <v>2129.1956087999997</v>
      </c>
      <c r="L40" s="67" t="s">
        <v>41</v>
      </c>
      <c r="M40" s="98">
        <f>ROUND((G40*I40*K40),2)</f>
        <v>2129.1999999999998</v>
      </c>
      <c r="N40" s="71" t="s">
        <v>37</v>
      </c>
      <c r="O40" s="70">
        <f>ROUNDUP((M40),-2)</f>
        <v>2200</v>
      </c>
      <c r="P40" s="71" t="s">
        <v>37</v>
      </c>
      <c r="Q40" s="72"/>
      <c r="R40" s="72"/>
      <c r="S40" s="65"/>
      <c r="T40" s="477"/>
      <c r="U40" s="477"/>
      <c r="V40" s="477"/>
      <c r="W40" s="64"/>
      <c r="X40" s="73" t="str">
        <f>""&amp;TEXT(G40,"0,0")&amp;" авт. х "&amp;TEXT(I40,"0,0")&amp;" раз. х  "&amp;TEXT((K40),"000,00")&amp;" руб. = "&amp;TEXT((M40),"0 000,00")&amp;" руб. = "&amp;TEXT(O40,"0 000,00")&amp;" руб."</f>
        <v>1,0 авт. х 1,0 раз. х  2129,20 руб. = 2 129,20 руб. = 2 200,00 руб.</v>
      </c>
    </row>
    <row r="41" spans="1:24" ht="21" customHeight="1" x14ac:dyDescent="0.25">
      <c r="A41" s="567"/>
      <c r="B41" s="618"/>
      <c r="C41" s="64"/>
      <c r="D41" s="437"/>
      <c r="E41" s="437"/>
      <c r="F41" s="68" t="s">
        <v>226</v>
      </c>
      <c r="G41" s="98">
        <v>1</v>
      </c>
      <c r="H41" s="65" t="s">
        <v>195</v>
      </c>
      <c r="I41" s="69">
        <v>1</v>
      </c>
      <c r="J41" s="67" t="s">
        <v>25</v>
      </c>
      <c r="K41" s="129">
        <f>K40*1.041</f>
        <v>2216.4926287607996</v>
      </c>
      <c r="L41" s="67" t="s">
        <v>41</v>
      </c>
      <c r="M41" s="98">
        <f>ROUND((G41*I41*K41),2)</f>
        <v>2216.4899999999998</v>
      </c>
      <c r="N41" s="71" t="s">
        <v>37</v>
      </c>
      <c r="O41" s="70">
        <f>ROUNDUP((M41),-2)</f>
        <v>2300</v>
      </c>
      <c r="P41" s="71" t="s">
        <v>37</v>
      </c>
      <c r="Q41" s="70"/>
      <c r="R41" s="71"/>
      <c r="S41" s="65"/>
      <c r="T41" s="478"/>
      <c r="U41" s="478"/>
      <c r="V41" s="478"/>
      <c r="W41" s="64"/>
      <c r="X41" s="73" t="str">
        <f>""&amp;TEXT(G41,"0,0")&amp;" авт. х "&amp;TEXT(I41,"0,0")&amp;" раз. х  "&amp;TEXT((K41),"000,00")&amp;" руб. = "&amp;TEXT((M41),"0 000,00")&amp;" руб. = "&amp;TEXT(O41,"0 000,00")&amp;" руб."</f>
        <v>1,0 авт. х 1,0 раз. х  2216,49 руб. = 2 216,49 руб. = 2 300,00 руб.</v>
      </c>
    </row>
    <row r="42" spans="1:24" ht="77.25" customHeight="1" x14ac:dyDescent="0.25">
      <c r="A42" s="74" t="s">
        <v>11</v>
      </c>
      <c r="B42" s="118" t="s">
        <v>115</v>
      </c>
      <c r="C42" s="52"/>
      <c r="D42" s="89" t="s">
        <v>35</v>
      </c>
      <c r="E42" s="89" t="s">
        <v>35</v>
      </c>
      <c r="F42" s="423"/>
      <c r="G42" s="424"/>
      <c r="H42" s="424"/>
      <c r="I42" s="424"/>
      <c r="J42" s="424"/>
      <c r="K42" s="424"/>
      <c r="L42" s="424"/>
      <c r="M42" s="424"/>
      <c r="N42" s="424"/>
      <c r="O42" s="424"/>
      <c r="P42" s="424"/>
      <c r="Q42" s="424"/>
      <c r="R42" s="424"/>
      <c r="S42" s="424"/>
      <c r="T42" s="109">
        <f>SUM(T43,T48,T53,T59)</f>
        <v>107800</v>
      </c>
      <c r="U42" s="109">
        <f t="shared" ref="U42:V42" si="5">SUM(U43,U48,U53,U59)</f>
        <v>112200</v>
      </c>
      <c r="V42" s="109">
        <f t="shared" si="5"/>
        <v>116900</v>
      </c>
      <c r="W42" s="52"/>
      <c r="X42" s="73" t="str">
        <f>"Нормативные "&amp;TEXT(B42,"0")&amp;" включают в себя:
нормативные "&amp;TEXT(B48,"0")&amp;";
нормативные "&amp;TEXT(B53,"0")&amp;";
нормативные "&amp;TEXT(B59,"0")&amp;""</f>
        <v>Нормативные затраты на техническое обслуживание и регламентно-профилактический ремонт иного оборудования включают в себя:
нормативные затраты по ремонту систем кондиционирования;
нормативные затраты по техническому обслуживанию и регламентно-профилактический ремонту комплексных систем обеспечения безопасности;
нормативные затраты по техническому обслуживанию счетчика банкнот</v>
      </c>
    </row>
    <row r="43" spans="1:24" s="75" customFormat="1" ht="135.75" customHeight="1" x14ac:dyDescent="0.25">
      <c r="A43" s="567" t="s">
        <v>127</v>
      </c>
      <c r="B43" s="617" t="s">
        <v>233</v>
      </c>
      <c r="C43" s="56"/>
      <c r="D43" s="619">
        <v>225</v>
      </c>
      <c r="E43" s="619">
        <v>244</v>
      </c>
      <c r="F43" s="380" t="s">
        <v>182</v>
      </c>
      <c r="G43" s="380"/>
      <c r="H43" s="380"/>
      <c r="I43" s="380"/>
      <c r="J43" s="380"/>
      <c r="K43" s="380"/>
      <c r="L43" s="380"/>
      <c r="M43" s="380"/>
      <c r="N43" s="380"/>
      <c r="O43" s="380"/>
      <c r="P43" s="380"/>
      <c r="Q43" s="380"/>
      <c r="R43" s="380"/>
      <c r="S43" s="98"/>
      <c r="T43" s="477">
        <f>O45</f>
        <v>55500</v>
      </c>
      <c r="U43" s="477">
        <f>O46</f>
        <v>57800</v>
      </c>
      <c r="V43" s="477">
        <f>O47</f>
        <v>60200</v>
      </c>
      <c r="W43" s="56"/>
      <c r="X43" s="73" t="s">
        <v>84</v>
      </c>
    </row>
    <row r="44" spans="1:24" ht="15" customHeight="1" outlineLevel="1" x14ac:dyDescent="0.25">
      <c r="A44" s="567"/>
      <c r="B44" s="618"/>
      <c r="C44" s="64"/>
      <c r="D44" s="437"/>
      <c r="E44" s="620"/>
      <c r="F44" s="76"/>
      <c r="G44" s="98"/>
      <c r="H44" s="67" t="s">
        <v>77</v>
      </c>
      <c r="I44" s="98">
        <v>1</v>
      </c>
      <c r="J44" s="67" t="s">
        <v>67</v>
      </c>
      <c r="K44" s="98"/>
      <c r="L44" s="67" t="s">
        <v>41</v>
      </c>
      <c r="M44" s="98"/>
      <c r="N44" s="67" t="s">
        <v>37</v>
      </c>
      <c r="P44" s="77" t="s">
        <v>145</v>
      </c>
      <c r="Q44" s="78"/>
      <c r="R44" s="61"/>
      <c r="S44" s="65"/>
      <c r="T44" s="477"/>
      <c r="U44" s="477"/>
      <c r="V44" s="477"/>
      <c r="W44" s="64"/>
      <c r="X44" s="73"/>
    </row>
    <row r="45" spans="1:24" ht="19.5" customHeight="1" x14ac:dyDescent="0.25">
      <c r="A45" s="567"/>
      <c r="B45" s="618"/>
      <c r="C45" s="64"/>
      <c r="D45" s="437"/>
      <c r="E45" s="620"/>
      <c r="F45" s="68" t="s">
        <v>151</v>
      </c>
      <c r="G45" s="98">
        <v>8</v>
      </c>
      <c r="H45" s="67" t="s">
        <v>77</v>
      </c>
      <c r="I45" s="69">
        <v>1</v>
      </c>
      <c r="J45" s="67" t="s">
        <v>25</v>
      </c>
      <c r="K45" s="98">
        <v>6933.33</v>
      </c>
      <c r="L45" s="67" t="s">
        <v>41</v>
      </c>
      <c r="M45" s="98">
        <f>ROUND((G45*I45*K45),2)</f>
        <v>55466.64</v>
      </c>
      <c r="N45" s="67" t="s">
        <v>37</v>
      </c>
      <c r="O45" s="70">
        <f>ROUNDUP((M45),-2)</f>
        <v>55500</v>
      </c>
      <c r="P45" s="71" t="s">
        <v>37</v>
      </c>
      <c r="Q45" s="72"/>
      <c r="R45" s="61"/>
      <c r="S45" s="72"/>
      <c r="T45" s="477"/>
      <c r="U45" s="477"/>
      <c r="V45" s="477"/>
      <c r="W45" s="64"/>
      <c r="X45" s="73" t="str">
        <f>""&amp;TEXT(G45,"0,0")&amp;" шт. х "&amp;TEXT(I45,"0,0")&amp;" раз. х  "&amp;TEXT((K45),"000,00")&amp;" руб. = "&amp;TEXT((M45),"0 000,00")&amp;" руб. = "&amp;TEXT(O45,"0 000,00")&amp;" руб."</f>
        <v>8,0 шт. х 1,0 раз. х  6933,33 руб. = 55 466,64 руб. = 55 500,00 руб.</v>
      </c>
    </row>
    <row r="46" spans="1:24" ht="19.5" customHeight="1" x14ac:dyDescent="0.25">
      <c r="A46" s="567"/>
      <c r="B46" s="618"/>
      <c r="C46" s="64"/>
      <c r="D46" s="437"/>
      <c r="E46" s="620"/>
      <c r="F46" s="68" t="s">
        <v>193</v>
      </c>
      <c r="G46" s="98">
        <v>8</v>
      </c>
      <c r="H46" s="67" t="s">
        <v>77</v>
      </c>
      <c r="I46" s="69">
        <v>1</v>
      </c>
      <c r="J46" s="67" t="s">
        <v>25</v>
      </c>
      <c r="K46" s="69">
        <f>K45*1.041</f>
        <v>7217.5965299999998</v>
      </c>
      <c r="L46" s="67" t="s">
        <v>41</v>
      </c>
      <c r="M46" s="98">
        <f t="shared" ref="M46:M47" si="6">ROUND((G46*I46*K46),2)</f>
        <v>57740.77</v>
      </c>
      <c r="N46" s="67" t="s">
        <v>37</v>
      </c>
      <c r="O46" s="70">
        <f>ROUNDUP((M46),-2)</f>
        <v>57800</v>
      </c>
      <c r="P46" s="71" t="s">
        <v>37</v>
      </c>
      <c r="Q46" s="72"/>
      <c r="R46" s="61"/>
      <c r="S46" s="72"/>
      <c r="T46" s="477"/>
      <c r="U46" s="477"/>
      <c r="V46" s="477"/>
      <c r="W46" s="64"/>
      <c r="X46" s="73" t="str">
        <f t="shared" ref="X46:X47" si="7">""&amp;TEXT(G46,"0,0")&amp;" шт. х "&amp;TEXT(I46,"0,0")&amp;" раз. х  "&amp;TEXT((K46),"000,00")&amp;" руб. = "&amp;TEXT((M46),"0 000,00")&amp;" руб. = "&amp;TEXT(O46,"0 000,00")&amp;" руб."</f>
        <v>8,0 шт. х 1,0 раз. х  7217,60 руб. = 57 740,77 руб. = 57 800,00 руб.</v>
      </c>
    </row>
    <row r="47" spans="1:24" ht="19.5" customHeight="1" x14ac:dyDescent="0.25">
      <c r="A47" s="567"/>
      <c r="B47" s="618"/>
      <c r="C47" s="64"/>
      <c r="D47" s="437"/>
      <c r="E47" s="620"/>
      <c r="F47" s="68" t="s">
        <v>226</v>
      </c>
      <c r="G47" s="98">
        <v>8</v>
      </c>
      <c r="H47" s="67" t="s">
        <v>77</v>
      </c>
      <c r="I47" s="69">
        <v>1</v>
      </c>
      <c r="J47" s="67" t="s">
        <v>25</v>
      </c>
      <c r="K47" s="69">
        <f>K46*1.041</f>
        <v>7513.5179877299988</v>
      </c>
      <c r="L47" s="67" t="s">
        <v>41</v>
      </c>
      <c r="M47" s="98">
        <f t="shared" si="6"/>
        <v>60108.14</v>
      </c>
      <c r="N47" s="67" t="s">
        <v>37</v>
      </c>
      <c r="O47" s="70">
        <f>ROUNDUP((M47),-2)</f>
        <v>60200</v>
      </c>
      <c r="P47" s="71" t="s">
        <v>37</v>
      </c>
      <c r="Q47" s="70"/>
      <c r="R47" s="61"/>
      <c r="S47" s="71"/>
      <c r="T47" s="478"/>
      <c r="U47" s="478"/>
      <c r="V47" s="478"/>
      <c r="W47" s="64"/>
      <c r="X47" s="73" t="str">
        <f t="shared" si="7"/>
        <v>8,0 шт. х 1,0 раз. х  7513,52 руб. = 60 108,14 руб. = 60 200,00 руб.</v>
      </c>
    </row>
    <row r="48" spans="1:24" s="75" customFormat="1" ht="119.25" customHeight="1" x14ac:dyDescent="0.25">
      <c r="A48" s="567" t="s">
        <v>128</v>
      </c>
      <c r="B48" s="617" t="s">
        <v>217</v>
      </c>
      <c r="C48" s="56"/>
      <c r="D48" s="619">
        <v>225</v>
      </c>
      <c r="E48" s="619">
        <v>244</v>
      </c>
      <c r="F48" s="380"/>
      <c r="G48" s="380"/>
      <c r="H48" s="380"/>
      <c r="I48" s="380"/>
      <c r="J48" s="380"/>
      <c r="K48" s="380"/>
      <c r="L48" s="380"/>
      <c r="M48" s="380"/>
      <c r="N48" s="380"/>
      <c r="O48" s="380"/>
      <c r="P48" s="380"/>
      <c r="Q48" s="380"/>
      <c r="R48" s="380"/>
      <c r="S48" s="98"/>
      <c r="T48" s="477">
        <f>O50</f>
        <v>11200</v>
      </c>
      <c r="U48" s="477">
        <f>O51</f>
        <v>11700</v>
      </c>
      <c r="V48" s="477">
        <f>O52</f>
        <v>12200</v>
      </c>
      <c r="W48" s="56"/>
      <c r="X48" s="73" t="s">
        <v>218</v>
      </c>
    </row>
    <row r="49" spans="1:25" ht="15" customHeight="1" outlineLevel="1" x14ac:dyDescent="0.25">
      <c r="A49" s="567"/>
      <c r="B49" s="618"/>
      <c r="C49" s="64"/>
      <c r="D49" s="437"/>
      <c r="E49" s="620"/>
      <c r="F49" s="76"/>
      <c r="G49" s="98"/>
      <c r="H49" s="67" t="s">
        <v>77</v>
      </c>
      <c r="I49" s="98"/>
      <c r="J49" s="67" t="s">
        <v>231</v>
      </c>
      <c r="K49" s="98"/>
      <c r="L49" s="67" t="s">
        <v>41</v>
      </c>
      <c r="M49" s="98"/>
      <c r="N49" s="67" t="s">
        <v>37</v>
      </c>
      <c r="P49" s="77"/>
      <c r="Q49" s="78"/>
      <c r="R49" s="61"/>
      <c r="S49" s="65"/>
      <c r="T49" s="477"/>
      <c r="U49" s="477"/>
      <c r="V49" s="477"/>
      <c r="W49" s="64"/>
      <c r="X49" s="73"/>
    </row>
    <row r="50" spans="1:25" ht="18.75" customHeight="1" x14ac:dyDescent="0.25">
      <c r="A50" s="567"/>
      <c r="B50" s="618"/>
      <c r="C50" s="64"/>
      <c r="D50" s="437"/>
      <c r="E50" s="620"/>
      <c r="F50" s="68" t="s">
        <v>151</v>
      </c>
      <c r="G50" s="98">
        <v>1</v>
      </c>
      <c r="H50" s="65" t="s">
        <v>235</v>
      </c>
      <c r="I50" s="69">
        <v>1</v>
      </c>
      <c r="J50" s="67" t="s">
        <v>25</v>
      </c>
      <c r="K50" s="98">
        <v>11200</v>
      </c>
      <c r="L50" s="67" t="s">
        <v>41</v>
      </c>
      <c r="M50" s="98">
        <f>ROUND((G50*I50*K50),1)</f>
        <v>11200</v>
      </c>
      <c r="N50" s="71" t="s">
        <v>37</v>
      </c>
      <c r="O50" s="70">
        <f>ROUNDUP((M50),-2)</f>
        <v>11200</v>
      </c>
      <c r="P50" s="71" t="s">
        <v>37</v>
      </c>
      <c r="Q50" s="72"/>
      <c r="R50" s="72"/>
      <c r="S50" s="65"/>
      <c r="T50" s="477"/>
      <c r="U50" s="477"/>
      <c r="V50" s="477"/>
      <c r="W50" s="64"/>
      <c r="X50" s="73" t="str">
        <f>""&amp;TEXT(G50,"0,0")&amp;" шт. х "&amp;TEXT(I50,"0,0")&amp;" ед. х  "&amp;TEXT((K50),"000,00")&amp;" руб. = "&amp;TEXT((M50),"0 000,00")&amp;" руб. = "&amp;TEXT(O50,"0 000,00")&amp;" руб."</f>
        <v>1,0 шт. х 1,0 ед. х  11200,00 руб. = 11 200,00 руб. = 11 200,00 руб.</v>
      </c>
    </row>
    <row r="51" spans="1:25" ht="18.75" customHeight="1" x14ac:dyDescent="0.25">
      <c r="A51" s="567"/>
      <c r="B51" s="618"/>
      <c r="C51" s="64"/>
      <c r="D51" s="437"/>
      <c r="E51" s="620"/>
      <c r="F51" s="68" t="s">
        <v>193</v>
      </c>
      <c r="G51" s="98">
        <v>1</v>
      </c>
      <c r="H51" s="67" t="str">
        <f>H50</f>
        <v>руб. х ед</v>
      </c>
      <c r="I51" s="69">
        <v>1</v>
      </c>
      <c r="J51" s="67" t="s">
        <v>25</v>
      </c>
      <c r="K51" s="129">
        <f>K50*1.041</f>
        <v>11659.199999999999</v>
      </c>
      <c r="L51" s="67" t="s">
        <v>41</v>
      </c>
      <c r="M51" s="98">
        <f>ROUND((G51*I51*K51),1)</f>
        <v>11659.2</v>
      </c>
      <c r="N51" s="71" t="s">
        <v>37</v>
      </c>
      <c r="O51" s="70">
        <f>ROUNDUP((M51),-2)</f>
        <v>11700</v>
      </c>
      <c r="P51" s="71" t="s">
        <v>37</v>
      </c>
      <c r="Q51" s="72"/>
      <c r="R51" s="72"/>
      <c r="S51" s="65"/>
      <c r="T51" s="477"/>
      <c r="U51" s="477"/>
      <c r="V51" s="477"/>
      <c r="W51" s="64"/>
      <c r="X51" s="73" t="str">
        <f>""&amp;TEXT(G51,"0,0")&amp;" шт. х "&amp;TEXT(I51,"0,0")&amp;" ед. х  "&amp;TEXT((K51),"000,00")&amp;" руб. = "&amp;TEXT((M51),"0 000,00")&amp;" руб. = "&amp;TEXT(O51,"0 000,00")&amp;" руб."</f>
        <v>1,0 шт. х 1,0 ед. х  11659,20 руб. = 11 659,20 руб. = 11 700,00 руб.</v>
      </c>
    </row>
    <row r="52" spans="1:25" ht="18.75" customHeight="1" x14ac:dyDescent="0.25">
      <c r="A52" s="567"/>
      <c r="B52" s="618"/>
      <c r="C52" s="64"/>
      <c r="D52" s="437"/>
      <c r="E52" s="620"/>
      <c r="F52" s="68" t="s">
        <v>226</v>
      </c>
      <c r="G52" s="98">
        <v>1</v>
      </c>
      <c r="H52" s="67" t="str">
        <f>H50</f>
        <v>руб. х ед</v>
      </c>
      <c r="I52" s="69">
        <v>1</v>
      </c>
      <c r="J52" s="67" t="s">
        <v>25</v>
      </c>
      <c r="K52" s="129">
        <f>K51*1.041</f>
        <v>12137.227199999998</v>
      </c>
      <c r="L52" s="67" t="s">
        <v>41</v>
      </c>
      <c r="M52" s="98">
        <f>ROUND((G52*I52*K52),1)</f>
        <v>12137.2</v>
      </c>
      <c r="N52" s="71" t="s">
        <v>37</v>
      </c>
      <c r="O52" s="70">
        <f>ROUNDUP((M52),-2)</f>
        <v>12200</v>
      </c>
      <c r="P52" s="71" t="s">
        <v>37</v>
      </c>
      <c r="Q52" s="70"/>
      <c r="R52" s="71"/>
      <c r="S52" s="65"/>
      <c r="T52" s="478"/>
      <c r="U52" s="478"/>
      <c r="V52" s="478"/>
      <c r="W52" s="64"/>
      <c r="X52" s="73" t="str">
        <f>""&amp;TEXT(G52,"0,0")&amp;" шт. х "&amp;TEXT(I52,"0,0")&amp;" ед. х  "&amp;TEXT((K52),"000,00")&amp;" руб. = "&amp;TEXT((M52),"0 000,00")&amp;" руб. = "&amp;TEXT(O52,"0 000,00")&amp;" руб."</f>
        <v>1,0 шт. х 1,0 ед. х  12137,23 руб. = 12 137,20 руб. = 12 200,00 руб.</v>
      </c>
    </row>
    <row r="53" spans="1:25" ht="84.75" customHeight="1" x14ac:dyDescent="0.25">
      <c r="A53" s="60" t="s">
        <v>129</v>
      </c>
      <c r="B53" s="117" t="s">
        <v>110</v>
      </c>
      <c r="C53" s="52"/>
      <c r="D53" s="89" t="s">
        <v>35</v>
      </c>
      <c r="E53" s="89" t="s">
        <v>35</v>
      </c>
      <c r="F53" s="423"/>
      <c r="G53" s="424"/>
      <c r="H53" s="424"/>
      <c r="I53" s="424"/>
      <c r="J53" s="424"/>
      <c r="K53" s="424"/>
      <c r="L53" s="424"/>
      <c r="M53" s="424"/>
      <c r="N53" s="424"/>
      <c r="O53" s="424"/>
      <c r="P53" s="424"/>
      <c r="Q53" s="424"/>
      <c r="R53" s="424"/>
      <c r="S53" s="424"/>
      <c r="T53" s="110">
        <f>SUM(T54)</f>
        <v>35100</v>
      </c>
      <c r="U53" s="110">
        <f>SUM(U54)</f>
        <v>36500</v>
      </c>
      <c r="V53" s="110">
        <f>SUM(V54)</f>
        <v>38000</v>
      </c>
      <c r="W53" s="52"/>
      <c r="X53" s="73" t="str">
        <f>"Нормативные "&amp;TEXT(B53,"0")&amp;" включают в себя:
нормативные "&amp;TEXT(B54,"0")&amp;""</f>
        <v>Нормативные затраты по техническому обслуживанию и регламентно-профилактический ремонту комплексных систем обеспечения безопасности включают в себя:
нормативные затраты по техническому обслуживанию охранно-тревожной сигнализации</v>
      </c>
    </row>
    <row r="54" spans="1:25" ht="134.25" customHeight="1" x14ac:dyDescent="0.25">
      <c r="A54" s="567" t="s">
        <v>221</v>
      </c>
      <c r="B54" s="617" t="s">
        <v>111</v>
      </c>
      <c r="C54" s="64"/>
      <c r="D54" s="619">
        <v>225</v>
      </c>
      <c r="E54" s="619">
        <v>244</v>
      </c>
      <c r="F54" s="380" t="s">
        <v>186</v>
      </c>
      <c r="G54" s="380"/>
      <c r="H54" s="380"/>
      <c r="I54" s="380"/>
      <c r="J54" s="380"/>
      <c r="K54" s="380"/>
      <c r="L54" s="380"/>
      <c r="M54" s="380"/>
      <c r="N54" s="380"/>
      <c r="O54" s="380"/>
      <c r="P54" s="380"/>
      <c r="Q54" s="380"/>
      <c r="R54" s="380"/>
      <c r="S54" s="65"/>
      <c r="T54" s="477">
        <f>O56</f>
        <v>35100</v>
      </c>
      <c r="U54" s="477">
        <f>O57</f>
        <v>36500</v>
      </c>
      <c r="V54" s="477">
        <f>O58</f>
        <v>38000</v>
      </c>
      <c r="W54" s="64"/>
      <c r="X54" s="73" t="s">
        <v>176</v>
      </c>
    </row>
    <row r="55" spans="1:25" ht="19.5" customHeight="1" outlineLevel="1" x14ac:dyDescent="0.25">
      <c r="A55" s="567"/>
      <c r="B55" s="618"/>
      <c r="C55" s="64"/>
      <c r="D55" s="437"/>
      <c r="E55" s="620"/>
      <c r="F55" s="61"/>
      <c r="G55" s="98"/>
      <c r="H55" s="67" t="s">
        <v>70</v>
      </c>
      <c r="I55" s="98"/>
      <c r="J55" s="67" t="s">
        <v>73</v>
      </c>
      <c r="K55" s="98"/>
      <c r="L55" s="67" t="s">
        <v>41</v>
      </c>
      <c r="M55" s="98">
        <f>ROUND((G55*I55*K55),2)</f>
        <v>0</v>
      </c>
      <c r="N55" s="67" t="s">
        <v>37</v>
      </c>
      <c r="O55" s="67"/>
      <c r="P55" s="67"/>
      <c r="Q55" s="67"/>
      <c r="R55" s="65"/>
      <c r="S55" s="65"/>
      <c r="T55" s="477"/>
      <c r="U55" s="477"/>
      <c r="V55" s="477"/>
      <c r="W55" s="64"/>
      <c r="X55" s="73"/>
    </row>
    <row r="56" spans="1:25" ht="21" customHeight="1" x14ac:dyDescent="0.25">
      <c r="A56" s="567"/>
      <c r="B56" s="618"/>
      <c r="C56" s="64"/>
      <c r="D56" s="437"/>
      <c r="E56" s="620"/>
      <c r="F56" s="68" t="s">
        <v>151</v>
      </c>
      <c r="G56" s="98">
        <v>1</v>
      </c>
      <c r="H56" s="65" t="s">
        <v>234</v>
      </c>
      <c r="I56" s="69">
        <v>12</v>
      </c>
      <c r="J56" s="67" t="s">
        <v>25</v>
      </c>
      <c r="K56" s="98">
        <v>2916.67</v>
      </c>
      <c r="L56" s="67" t="s">
        <v>41</v>
      </c>
      <c r="M56" s="98">
        <f>ROUND((G56*I56*K56),2)</f>
        <v>35000.04</v>
      </c>
      <c r="N56" s="71" t="s">
        <v>37</v>
      </c>
      <c r="O56" s="70">
        <f>ROUNDUP((M56),-2)</f>
        <v>35100</v>
      </c>
      <c r="P56" s="71" t="s">
        <v>37</v>
      </c>
      <c r="Q56" s="72"/>
      <c r="R56" s="72"/>
      <c r="S56" s="65"/>
      <c r="T56" s="477"/>
      <c r="U56" s="477"/>
      <c r="V56" s="477"/>
      <c r="W56" s="64"/>
      <c r="X56" s="73" t="str">
        <f>""&amp;TEXT(G56,"0,0")&amp;" шт. х "&amp;TEXT(I56,"0,0")&amp;" мес. х "&amp;TEXT(ROUND((K56),2),"0 000,00")&amp;" руб. = "&amp;TEXT(ROUND(((M56)),2),"0 000,00")&amp;" руб. = "&amp;TEXT(O56,"0 000,00")&amp;" руб."</f>
        <v>1,0 шт. х 12,0 мес. х 2 916,67 руб. = 35 000,04 руб. = 35 100,00 руб.</v>
      </c>
    </row>
    <row r="57" spans="1:25" ht="21" customHeight="1" x14ac:dyDescent="0.25">
      <c r="A57" s="567"/>
      <c r="B57" s="618"/>
      <c r="C57" s="64"/>
      <c r="D57" s="437"/>
      <c r="E57" s="620"/>
      <c r="F57" s="68" t="s">
        <v>193</v>
      </c>
      <c r="G57" s="98">
        <v>1</v>
      </c>
      <c r="H57" s="67" t="str">
        <f>H56</f>
        <v>руб. х мес.</v>
      </c>
      <c r="I57" s="69">
        <f>$I$56</f>
        <v>12</v>
      </c>
      <c r="J57" s="67" t="s">
        <v>25</v>
      </c>
      <c r="K57" s="129">
        <f>K56*1.041</f>
        <v>3036.2534699999997</v>
      </c>
      <c r="L57" s="67" t="s">
        <v>41</v>
      </c>
      <c r="M57" s="98">
        <f>ROUND((G57*I57*K57),2)</f>
        <v>36435.040000000001</v>
      </c>
      <c r="N57" s="71" t="s">
        <v>37</v>
      </c>
      <c r="O57" s="70">
        <f>ROUNDUP((M57),-2)</f>
        <v>36500</v>
      </c>
      <c r="P57" s="71" t="s">
        <v>37</v>
      </c>
      <c r="Q57" s="72"/>
      <c r="R57" s="72"/>
      <c r="S57" s="65"/>
      <c r="T57" s="477"/>
      <c r="U57" s="477"/>
      <c r="V57" s="477"/>
      <c r="W57" s="64"/>
      <c r="X57" s="73" t="str">
        <f>""&amp;TEXT(G57,"0,0")&amp;" шт. х "&amp;TEXT(I57,"0,0")&amp;" мес. х "&amp;TEXT(ROUND((K57),2),"0 000,00")&amp;" руб. = "&amp;TEXT(ROUND(((M57)),2),"0 000,00")&amp;" руб. = "&amp;TEXT(O57,"0 000,00")&amp;" руб."</f>
        <v>1,0 шт. х 12,0 мес. х 3 036,25 руб. = 36 435,04 руб. = 36 500,00 руб.</v>
      </c>
    </row>
    <row r="58" spans="1:25" ht="21" customHeight="1" x14ac:dyDescent="0.25">
      <c r="A58" s="567"/>
      <c r="B58" s="618"/>
      <c r="C58" s="64"/>
      <c r="D58" s="437"/>
      <c r="E58" s="620"/>
      <c r="F58" s="68" t="s">
        <v>226</v>
      </c>
      <c r="G58" s="98">
        <f>G57</f>
        <v>1</v>
      </c>
      <c r="H58" s="67" t="str">
        <f>H56</f>
        <v>руб. х мес.</v>
      </c>
      <c r="I58" s="69">
        <f>$I$56</f>
        <v>12</v>
      </c>
      <c r="J58" s="67" t="s">
        <v>25</v>
      </c>
      <c r="K58" s="129">
        <f>K57*1.041</f>
        <v>3160.7398622699993</v>
      </c>
      <c r="L58" s="67" t="s">
        <v>41</v>
      </c>
      <c r="M58" s="98">
        <f>ROUND((G58*I58*K58),2)</f>
        <v>37928.879999999997</v>
      </c>
      <c r="N58" s="71" t="s">
        <v>37</v>
      </c>
      <c r="O58" s="70">
        <f>ROUNDUP((M58),-2)</f>
        <v>38000</v>
      </c>
      <c r="P58" s="71" t="s">
        <v>37</v>
      </c>
      <c r="Q58" s="70"/>
      <c r="R58" s="71"/>
      <c r="S58" s="65"/>
      <c r="T58" s="478"/>
      <c r="U58" s="478"/>
      <c r="V58" s="478"/>
      <c r="W58" s="64"/>
      <c r="X58" s="73" t="str">
        <f>""&amp;TEXT(G58,"0,0")&amp;" шт. х "&amp;TEXT(I58,"0,0")&amp;" мес. х "&amp;TEXT(ROUND((K58),2),"0 000,00")&amp;" руб. = "&amp;TEXT(ROUND(((M58)),2),"0 000,00")&amp;" руб. = "&amp;TEXT(O58,"0 000,00")&amp;" руб."</f>
        <v>1,0 шт. х 12,0 мес. х 3 160,74 руб. = 37 928,88 руб. = 38 000,00 руб.</v>
      </c>
    </row>
    <row r="59" spans="1:25" ht="134.25" customHeight="1" x14ac:dyDescent="0.25">
      <c r="A59" s="468" t="s">
        <v>222</v>
      </c>
      <c r="B59" s="617" t="s">
        <v>116</v>
      </c>
      <c r="C59" s="64"/>
      <c r="D59" s="619">
        <v>225</v>
      </c>
      <c r="E59" s="619">
        <v>244</v>
      </c>
      <c r="F59" s="380" t="s">
        <v>182</v>
      </c>
      <c r="G59" s="380"/>
      <c r="H59" s="380"/>
      <c r="I59" s="380"/>
      <c r="J59" s="380"/>
      <c r="K59" s="380"/>
      <c r="L59" s="380"/>
      <c r="M59" s="380"/>
      <c r="N59" s="380"/>
      <c r="O59" s="380"/>
      <c r="P59" s="380"/>
      <c r="Q59" s="380"/>
      <c r="R59" s="380"/>
      <c r="S59" s="65"/>
      <c r="T59" s="477">
        <f>O61</f>
        <v>6000</v>
      </c>
      <c r="U59" s="477">
        <f>O62</f>
        <v>6200</v>
      </c>
      <c r="V59" s="477">
        <f>O63</f>
        <v>6500</v>
      </c>
      <c r="W59" s="64"/>
      <c r="X59" s="73" t="s">
        <v>85</v>
      </c>
    </row>
    <row r="60" spans="1:25" ht="21.75" customHeight="1" outlineLevel="1" x14ac:dyDescent="0.25">
      <c r="A60" s="468"/>
      <c r="B60" s="618"/>
      <c r="C60" s="64"/>
      <c r="D60" s="437"/>
      <c r="E60" s="620"/>
      <c r="F60" s="61">
        <v>2021</v>
      </c>
      <c r="G60" s="98"/>
      <c r="H60" s="67" t="s">
        <v>77</v>
      </c>
      <c r="I60" s="98">
        <v>4</v>
      </c>
      <c r="J60" s="67" t="s">
        <v>67</v>
      </c>
      <c r="K60" s="98">
        <v>1422.19</v>
      </c>
      <c r="L60" s="67" t="s">
        <v>41</v>
      </c>
      <c r="M60" s="98">
        <f>ROUND((G60*I60*K60),2)</f>
        <v>0</v>
      </c>
      <c r="N60" s="67" t="s">
        <v>37</v>
      </c>
      <c r="O60" s="67"/>
      <c r="P60" s="67"/>
      <c r="Q60" s="67"/>
      <c r="R60" s="65"/>
      <c r="S60" s="65"/>
      <c r="T60" s="477"/>
      <c r="U60" s="477"/>
      <c r="V60" s="477"/>
      <c r="W60" s="64"/>
      <c r="X60" s="73"/>
    </row>
    <row r="61" spans="1:25" ht="22.5" customHeight="1" x14ac:dyDescent="0.25">
      <c r="A61" s="468"/>
      <c r="B61" s="618"/>
      <c r="C61" s="64"/>
      <c r="D61" s="437"/>
      <c r="E61" s="620"/>
      <c r="F61" s="68" t="s">
        <v>151</v>
      </c>
      <c r="G61" s="98">
        <v>1</v>
      </c>
      <c r="H61" s="67" t="s">
        <v>77</v>
      </c>
      <c r="I61" s="69">
        <v>4</v>
      </c>
      <c r="J61" s="67" t="s">
        <v>25</v>
      </c>
      <c r="K61" s="129">
        <f>K60*1.04</f>
        <v>1479.0776000000001</v>
      </c>
      <c r="L61" s="67" t="s">
        <v>41</v>
      </c>
      <c r="M61" s="70">
        <f>K61*I61*G61</f>
        <v>5916.3104000000003</v>
      </c>
      <c r="N61" s="71" t="s">
        <v>37</v>
      </c>
      <c r="O61" s="70">
        <f>ROUNDUP((M61),-2)</f>
        <v>6000</v>
      </c>
      <c r="P61" s="71" t="s">
        <v>37</v>
      </c>
      <c r="Q61" s="70"/>
      <c r="R61" s="71"/>
      <c r="S61" s="65"/>
      <c r="T61" s="477"/>
      <c r="U61" s="477"/>
      <c r="V61" s="477"/>
      <c r="W61" s="64"/>
      <c r="X61" s="73" t="str">
        <f>""&amp;TEXT(G61,"0,0")&amp;" шт. х "&amp;TEXT(I61,"0,0")&amp;" раза х "&amp;TEXT(ROUND((K61),2),"0 000,00")&amp;" руб. = "&amp;TEXT(ROUND(((M61)),2),"0 000,00")&amp;" руб. = "&amp;TEXT(O61,"0 000,00")&amp;" руб."</f>
        <v>1,0 шт. х 4,0 раза х 1 479,08 руб. = 5 916,31 руб. = 6 000,00 руб.</v>
      </c>
    </row>
    <row r="62" spans="1:25" ht="21.75" customHeight="1" x14ac:dyDescent="0.25">
      <c r="A62" s="468"/>
      <c r="B62" s="618"/>
      <c r="C62" s="64"/>
      <c r="D62" s="437"/>
      <c r="E62" s="620"/>
      <c r="F62" s="68" t="s">
        <v>193</v>
      </c>
      <c r="G62" s="98">
        <v>1</v>
      </c>
      <c r="H62" s="67" t="s">
        <v>77</v>
      </c>
      <c r="I62" s="69">
        <v>4</v>
      </c>
      <c r="J62" s="67" t="s">
        <v>25</v>
      </c>
      <c r="K62" s="129">
        <f>K61*1.041</f>
        <v>1539.7197816</v>
      </c>
      <c r="L62" s="67" t="s">
        <v>41</v>
      </c>
      <c r="M62" s="70">
        <f t="shared" ref="M62:M63" si="8">K62*I62*G62</f>
        <v>6158.8791264000001</v>
      </c>
      <c r="N62" s="71" t="s">
        <v>37</v>
      </c>
      <c r="O62" s="70">
        <f>ROUNDUP((M62),-2)</f>
        <v>6200</v>
      </c>
      <c r="P62" s="71" t="s">
        <v>37</v>
      </c>
      <c r="Q62" s="70"/>
      <c r="R62" s="71"/>
      <c r="S62" s="65"/>
      <c r="T62" s="477"/>
      <c r="U62" s="477"/>
      <c r="V62" s="477"/>
      <c r="W62" s="64"/>
      <c r="X62" s="73" t="str">
        <f t="shared" ref="X62:X63" si="9">""&amp;TEXT(G62,"0,0")&amp;" шт. х "&amp;TEXT(I62,"0,0")&amp;" раза х "&amp;TEXT(ROUND((K62),2),"0 000,00")&amp;" руб. = "&amp;TEXT(ROUND(((M62)),2),"0 000,00")&amp;" руб. = "&amp;TEXT(O62,"0 000,00")&amp;" руб."</f>
        <v>1,0 шт. х 4,0 раза х 1 539,72 руб. = 6 158,88 руб. = 6 200,00 руб.</v>
      </c>
    </row>
    <row r="63" spans="1:25" ht="18.75" customHeight="1" x14ac:dyDescent="0.25">
      <c r="A63" s="468"/>
      <c r="B63" s="618"/>
      <c r="C63" s="64"/>
      <c r="D63" s="437"/>
      <c r="E63" s="620"/>
      <c r="F63" s="68" t="s">
        <v>226</v>
      </c>
      <c r="G63" s="98">
        <v>1</v>
      </c>
      <c r="H63" s="67" t="s">
        <v>77</v>
      </c>
      <c r="I63" s="69">
        <v>4</v>
      </c>
      <c r="J63" s="67" t="s">
        <v>25</v>
      </c>
      <c r="K63" s="129">
        <f>K62*1.041</f>
        <v>1602.8482926455999</v>
      </c>
      <c r="L63" s="67" t="s">
        <v>41</v>
      </c>
      <c r="M63" s="70">
        <f t="shared" si="8"/>
        <v>6411.3931705823998</v>
      </c>
      <c r="N63" s="71" t="s">
        <v>37</v>
      </c>
      <c r="O63" s="70">
        <f>ROUNDUP((M63),-2)</f>
        <v>6500</v>
      </c>
      <c r="P63" s="71" t="s">
        <v>37</v>
      </c>
      <c r="Q63" s="70"/>
      <c r="R63" s="71"/>
      <c r="S63" s="65"/>
      <c r="T63" s="478"/>
      <c r="U63" s="478"/>
      <c r="V63" s="478"/>
      <c r="W63" s="64"/>
      <c r="X63" s="73" t="str">
        <f t="shared" si="9"/>
        <v>1,0 шт. х 4,0 раза х 1 602,85 руб. = 6 411,39 руб. = 6 500,00 руб.</v>
      </c>
    </row>
    <row r="64" spans="1:25" ht="84.75" customHeight="1" x14ac:dyDescent="0.25">
      <c r="A64" s="74" t="s">
        <v>203</v>
      </c>
      <c r="B64" s="118" t="s">
        <v>204</v>
      </c>
      <c r="C64" s="52"/>
      <c r="D64" s="79" t="s">
        <v>205</v>
      </c>
      <c r="E64" s="79" t="s">
        <v>206</v>
      </c>
      <c r="F64" s="423"/>
      <c r="G64" s="424"/>
      <c r="H64" s="424"/>
      <c r="I64" s="424"/>
      <c r="J64" s="424"/>
      <c r="K64" s="424"/>
      <c r="L64" s="424"/>
      <c r="M64" s="424"/>
      <c r="N64" s="424"/>
      <c r="O64" s="424"/>
      <c r="P64" s="424"/>
      <c r="Q64" s="424"/>
      <c r="R64" s="424"/>
      <c r="S64" s="424"/>
      <c r="T64" s="109">
        <f>SUM(T65,T74,T80)</f>
        <v>62900</v>
      </c>
      <c r="U64" s="109">
        <f>SUM(U65,U74,U80)</f>
        <v>65500</v>
      </c>
      <c r="V64" s="109">
        <f>SUM(V65,V74,V80)</f>
        <v>68200</v>
      </c>
      <c r="W64" s="52"/>
      <c r="X64" s="73" t="str">
        <f>"Нормативные "&amp;TEXT(B64,"0")&amp;" включают в себя:
нормативные "&amp;TEXT(B65,"0")&amp;""</f>
        <v>Нормативные иные затраты на техническое обслуживание и содержание имущества включают в себя:
нормативные затраты по вывозу и утилизации отработанных картриджей</v>
      </c>
      <c r="Y64" s="80"/>
    </row>
    <row r="65" spans="1:24" s="75" customFormat="1" ht="119.25" customHeight="1" x14ac:dyDescent="0.25">
      <c r="A65" s="468" t="s">
        <v>207</v>
      </c>
      <c r="B65" s="617" t="s">
        <v>208</v>
      </c>
      <c r="C65" s="56"/>
      <c r="D65" s="619">
        <v>225</v>
      </c>
      <c r="E65" s="619">
        <v>244</v>
      </c>
      <c r="F65" s="380" t="s">
        <v>237</v>
      </c>
      <c r="G65" s="380"/>
      <c r="H65" s="380"/>
      <c r="I65" s="380"/>
      <c r="J65" s="380"/>
      <c r="K65" s="380"/>
      <c r="L65" s="380"/>
      <c r="M65" s="380"/>
      <c r="N65" s="380"/>
      <c r="O65" s="380"/>
      <c r="P65" s="380"/>
      <c r="Q65" s="380"/>
      <c r="R65" s="380"/>
      <c r="S65" s="98"/>
      <c r="T65" s="477">
        <f>O67</f>
        <v>62900</v>
      </c>
      <c r="U65" s="477">
        <f>O68</f>
        <v>65500</v>
      </c>
      <c r="V65" s="477">
        <f>O69</f>
        <v>68200</v>
      </c>
      <c r="W65" s="56"/>
      <c r="X65" s="73" t="s">
        <v>209</v>
      </c>
    </row>
    <row r="66" spans="1:24" ht="15" customHeight="1" outlineLevel="1" x14ac:dyDescent="0.25">
      <c r="A66" s="468"/>
      <c r="B66" s="618"/>
      <c r="C66" s="64"/>
      <c r="D66" s="437"/>
      <c r="E66" s="620"/>
      <c r="F66" s="61">
        <v>2021</v>
      </c>
      <c r="G66" s="98"/>
      <c r="H66" s="67" t="s">
        <v>77</v>
      </c>
      <c r="I66" s="98"/>
      <c r="J66" s="67" t="s">
        <v>67</v>
      </c>
      <c r="K66" s="98">
        <v>60450</v>
      </c>
      <c r="L66" s="67" t="s">
        <v>41</v>
      </c>
      <c r="M66" s="98"/>
      <c r="N66" s="67" t="s">
        <v>37</v>
      </c>
      <c r="P66" s="77"/>
      <c r="Q66" s="78"/>
      <c r="R66" s="61"/>
      <c r="S66" s="65"/>
      <c r="T66" s="477"/>
      <c r="U66" s="477"/>
      <c r="V66" s="477"/>
      <c r="W66" s="64"/>
      <c r="X66" s="73"/>
    </row>
    <row r="67" spans="1:24" ht="18" customHeight="1" x14ac:dyDescent="0.25">
      <c r="A67" s="468"/>
      <c r="B67" s="618"/>
      <c r="C67" s="64"/>
      <c r="D67" s="437"/>
      <c r="E67" s="620"/>
      <c r="F67" s="68" t="s">
        <v>151</v>
      </c>
      <c r="G67" s="98">
        <v>1</v>
      </c>
      <c r="H67" s="67" t="s">
        <v>77</v>
      </c>
      <c r="I67" s="69">
        <v>1</v>
      </c>
      <c r="J67" s="67" t="s">
        <v>25</v>
      </c>
      <c r="K67" s="129">
        <f>K66*1.04</f>
        <v>62868</v>
      </c>
      <c r="L67" s="67" t="s">
        <v>41</v>
      </c>
      <c r="M67" s="98">
        <f>ROUND((G67*I67*K67),2)</f>
        <v>62868</v>
      </c>
      <c r="N67" s="67" t="s">
        <v>37</v>
      </c>
      <c r="O67" s="70">
        <f>ROUNDUP((M67),-2)</f>
        <v>62900</v>
      </c>
      <c r="P67" s="71" t="s">
        <v>37</v>
      </c>
      <c r="Q67" s="72"/>
      <c r="R67" s="61"/>
      <c r="S67" s="72"/>
      <c r="T67" s="477"/>
      <c r="U67" s="477"/>
      <c r="V67" s="477"/>
      <c r="W67" s="64"/>
      <c r="X67" s="73" t="str">
        <f>""&amp;TEXT($G$38,"0,0")&amp;" ед. х "&amp;TEXT($I$38,"0,0")&amp;" раз х "&amp;TEXT(ROUND((K67),2),"000,00")&amp;" руб. = "&amp;TEXT(ROUND((M67),2),"000,00")&amp;" руб. = "&amp;TEXT(O67,"0 000,00")&amp;" руб."</f>
        <v>1,0 ед. х 1,0 раз х 62868,00 руб. = 62868,00 руб. = 62 900,00 руб.</v>
      </c>
    </row>
    <row r="68" spans="1:24" ht="19.5" customHeight="1" x14ac:dyDescent="0.25">
      <c r="A68" s="468"/>
      <c r="B68" s="618"/>
      <c r="C68" s="64"/>
      <c r="D68" s="437"/>
      <c r="E68" s="620"/>
      <c r="F68" s="68" t="s">
        <v>193</v>
      </c>
      <c r="G68" s="98">
        <v>1</v>
      </c>
      <c r="H68" s="67" t="s">
        <v>77</v>
      </c>
      <c r="I68" s="69">
        <v>1</v>
      </c>
      <c r="J68" s="67" t="s">
        <v>25</v>
      </c>
      <c r="K68" s="129">
        <f>K67*1.041</f>
        <v>65445.587999999996</v>
      </c>
      <c r="L68" s="67" t="s">
        <v>41</v>
      </c>
      <c r="M68" s="98">
        <f t="shared" ref="M68:M69" si="10">ROUND((G68*I68*K68),2)</f>
        <v>65445.59</v>
      </c>
      <c r="N68" s="67" t="s">
        <v>37</v>
      </c>
      <c r="O68" s="70">
        <f>ROUNDUP((M68),-2)</f>
        <v>65500</v>
      </c>
      <c r="P68" s="71" t="s">
        <v>37</v>
      </c>
      <c r="Q68" s="72"/>
      <c r="R68" s="61"/>
      <c r="S68" s="72"/>
      <c r="T68" s="477"/>
      <c r="U68" s="477"/>
      <c r="V68" s="477"/>
      <c r="W68" s="64"/>
      <c r="X68" s="73" t="str">
        <f>""&amp;TEXT($G$38,"0,0")&amp;" ед. х "&amp;TEXT($I$38,"0,0")&amp;" раз х "&amp;TEXT(ROUND((K68),2),"000,00")&amp;" руб. = "&amp;TEXT(ROUND((M68),2),"000,00")&amp;" руб. = "&amp;TEXT(O68,"0 000,00")&amp;" руб."</f>
        <v>1,0 ед. х 1,0 раз х 65445,59 руб. = 65445,59 руб. = 65 500,00 руб.</v>
      </c>
    </row>
    <row r="69" spans="1:24" ht="19.5" customHeight="1" x14ac:dyDescent="0.25">
      <c r="A69" s="468"/>
      <c r="B69" s="618"/>
      <c r="C69" s="64"/>
      <c r="D69" s="437"/>
      <c r="E69" s="620"/>
      <c r="F69" s="68" t="s">
        <v>226</v>
      </c>
      <c r="G69" s="98">
        <v>1</v>
      </c>
      <c r="H69" s="67" t="s">
        <v>77</v>
      </c>
      <c r="I69" s="69">
        <v>1</v>
      </c>
      <c r="J69" s="67" t="s">
        <v>25</v>
      </c>
      <c r="K69" s="129">
        <f>K68*1.041</f>
        <v>68128.857107999997</v>
      </c>
      <c r="L69" s="67" t="s">
        <v>41</v>
      </c>
      <c r="M69" s="98">
        <f t="shared" si="10"/>
        <v>68128.86</v>
      </c>
      <c r="N69" s="67" t="s">
        <v>37</v>
      </c>
      <c r="O69" s="70">
        <f>ROUNDUP((M69),-2)</f>
        <v>68200</v>
      </c>
      <c r="P69" s="71" t="s">
        <v>37</v>
      </c>
      <c r="Q69" s="70"/>
      <c r="R69" s="61"/>
      <c r="S69" s="71"/>
      <c r="T69" s="478"/>
      <c r="U69" s="478"/>
      <c r="V69" s="478"/>
      <c r="W69" s="64"/>
      <c r="X69" s="73" t="str">
        <f>""&amp;TEXT($G$38,"0,0")&amp;" ед. х "&amp;TEXT($I$38,"0,0")&amp;" раз х "&amp;TEXT(ROUND((K69),2),"000,00")&amp;" руб. = "&amp;TEXT(ROUND((M69),2),"000,00")&amp;" руб. = "&amp;TEXT(O69,"0 000,00")&amp;" руб."</f>
        <v>1,0 ед. х 1,0 раз х 68128,86 руб. = 68128,86 руб. = 68 200,00 руб.</v>
      </c>
    </row>
    <row r="70" spans="1:24" s="75" customFormat="1" ht="119.25" customHeight="1" x14ac:dyDescent="0.25">
      <c r="A70" s="567" t="s">
        <v>238</v>
      </c>
      <c r="B70" s="617" t="s">
        <v>236</v>
      </c>
      <c r="C70" s="56"/>
      <c r="D70" s="619">
        <v>225</v>
      </c>
      <c r="E70" s="619">
        <v>244</v>
      </c>
      <c r="F70" s="380"/>
      <c r="G70" s="380"/>
      <c r="H70" s="380"/>
      <c r="I70" s="380"/>
      <c r="J70" s="380"/>
      <c r="K70" s="380"/>
      <c r="L70" s="380"/>
      <c r="M70" s="380"/>
      <c r="N70" s="380"/>
      <c r="O70" s="380"/>
      <c r="P70" s="380"/>
      <c r="Q70" s="380"/>
      <c r="R70" s="380"/>
      <c r="S70" s="127"/>
      <c r="T70" s="477">
        <f>O72</f>
        <v>0</v>
      </c>
      <c r="U70" s="477">
        <f>O73</f>
        <v>7000</v>
      </c>
      <c r="V70" s="477">
        <f>O74</f>
        <v>0</v>
      </c>
      <c r="W70" s="56"/>
      <c r="X70" s="128" t="s">
        <v>209</v>
      </c>
    </row>
    <row r="71" spans="1:24" ht="15" customHeight="1" outlineLevel="1" x14ac:dyDescent="0.25">
      <c r="A71" s="567"/>
      <c r="B71" s="618"/>
      <c r="C71" s="64"/>
      <c r="D71" s="437"/>
      <c r="E71" s="620"/>
      <c r="F71" s="76"/>
      <c r="G71" s="127"/>
      <c r="H71" s="67" t="s">
        <v>77</v>
      </c>
      <c r="I71" s="127"/>
      <c r="J71" s="67" t="s">
        <v>67</v>
      </c>
      <c r="K71" s="127"/>
      <c r="L71" s="67" t="s">
        <v>41</v>
      </c>
      <c r="M71" s="127"/>
      <c r="N71" s="67" t="s">
        <v>37</v>
      </c>
      <c r="P71" s="77"/>
      <c r="Q71" s="78"/>
      <c r="R71" s="61"/>
      <c r="S71" s="65"/>
      <c r="T71" s="477"/>
      <c r="U71" s="477"/>
      <c r="V71" s="477"/>
      <c r="W71" s="64"/>
      <c r="X71" s="128"/>
    </row>
    <row r="72" spans="1:24" ht="18" customHeight="1" x14ac:dyDescent="0.25">
      <c r="A72" s="567"/>
      <c r="B72" s="618"/>
      <c r="C72" s="64"/>
      <c r="D72" s="437"/>
      <c r="E72" s="620"/>
      <c r="F72" s="68" t="s">
        <v>151</v>
      </c>
      <c r="G72" s="127">
        <v>0</v>
      </c>
      <c r="H72" s="67" t="s">
        <v>77</v>
      </c>
      <c r="I72" s="69">
        <v>0</v>
      </c>
      <c r="J72" s="67" t="s">
        <v>25</v>
      </c>
      <c r="K72" s="127">
        <v>0</v>
      </c>
      <c r="L72" s="67" t="s">
        <v>41</v>
      </c>
      <c r="M72" s="127">
        <f>ROUND((G72*I72*K72),2)</f>
        <v>0</v>
      </c>
      <c r="N72" s="67" t="s">
        <v>37</v>
      </c>
      <c r="O72" s="70">
        <f>ROUNDUP((M72),-2)</f>
        <v>0</v>
      </c>
      <c r="P72" s="71" t="s">
        <v>37</v>
      </c>
      <c r="Q72" s="72"/>
      <c r="R72" s="61"/>
      <c r="S72" s="72"/>
      <c r="T72" s="477"/>
      <c r="U72" s="477"/>
      <c r="V72" s="477"/>
      <c r="W72" s="64"/>
      <c r="X72" s="128" t="str">
        <f>""&amp;TEXT($G$72,"0,0")&amp;" шт. х "&amp;TEXT($I$72,"0,0")&amp;" раз х "&amp;TEXT(ROUND((K72),2),"000,00")&amp;" руб. = "&amp;TEXT(ROUND((M72),2),"000,00")&amp;" руб. = "&amp;TEXT(O72,"0 000,00")&amp;" руб."</f>
        <v>0,0 шт. х 0,0 раз х 000,00 руб. = 000,00 руб. = 0 000,00 руб.</v>
      </c>
    </row>
    <row r="73" spans="1:24" ht="19.5" customHeight="1" x14ac:dyDescent="0.25">
      <c r="A73" s="567"/>
      <c r="B73" s="618"/>
      <c r="C73" s="64"/>
      <c r="D73" s="437"/>
      <c r="E73" s="620"/>
      <c r="F73" s="68" t="s">
        <v>193</v>
      </c>
      <c r="G73" s="127">
        <v>61</v>
      </c>
      <c r="H73" s="67" t="s">
        <v>77</v>
      </c>
      <c r="I73" s="69">
        <v>1</v>
      </c>
      <c r="J73" s="67" t="s">
        <v>25</v>
      </c>
      <c r="K73" s="69">
        <v>114</v>
      </c>
      <c r="L73" s="67" t="s">
        <v>41</v>
      </c>
      <c r="M73" s="127">
        <f t="shared" ref="M73:M74" si="11">ROUND((G73*I73*K73),2)</f>
        <v>6954</v>
      </c>
      <c r="N73" s="67" t="s">
        <v>37</v>
      </c>
      <c r="O73" s="70">
        <f>ROUNDUP((M73),-2)</f>
        <v>7000</v>
      </c>
      <c r="P73" s="71" t="s">
        <v>37</v>
      </c>
      <c r="Q73" s="72"/>
      <c r="R73" s="61"/>
      <c r="S73" s="72"/>
      <c r="T73" s="477"/>
      <c r="U73" s="477"/>
      <c r="V73" s="477"/>
      <c r="W73" s="64"/>
      <c r="X73" s="128" t="str">
        <f>""&amp;TEXT($G$73,"0,0")&amp;" шт. х "&amp;TEXT($I$38,"0,0")&amp;" раз х "&amp;TEXT(ROUND((K73),2),"000,00")&amp;" руб. = "&amp;TEXT(ROUND((M73),2),"000,00")&amp;" руб. = "&amp;TEXT(O73,"0 000,00")&amp;" руб."</f>
        <v>61,0 шт. х 1,0 раз х 114,00 руб. = 6954,00 руб. = 7 000,00 руб.</v>
      </c>
    </row>
    <row r="74" spans="1:24" ht="19.5" customHeight="1" x14ac:dyDescent="0.25">
      <c r="A74" s="567"/>
      <c r="B74" s="618"/>
      <c r="C74" s="64"/>
      <c r="D74" s="437"/>
      <c r="E74" s="620"/>
      <c r="F74" s="68" t="s">
        <v>226</v>
      </c>
      <c r="G74" s="127">
        <v>0</v>
      </c>
      <c r="H74" s="67" t="s">
        <v>77</v>
      </c>
      <c r="I74" s="69">
        <v>0</v>
      </c>
      <c r="J74" s="67" t="s">
        <v>25</v>
      </c>
      <c r="K74" s="69">
        <f>K73*1.0408</f>
        <v>118.65119999999999</v>
      </c>
      <c r="L74" s="67" t="s">
        <v>41</v>
      </c>
      <c r="M74" s="127">
        <f t="shared" si="11"/>
        <v>0</v>
      </c>
      <c r="N74" s="67" t="s">
        <v>37</v>
      </c>
      <c r="O74" s="70">
        <f>ROUNDUP((M74),-2)</f>
        <v>0</v>
      </c>
      <c r="P74" s="71" t="s">
        <v>37</v>
      </c>
      <c r="Q74" s="70"/>
      <c r="R74" s="61"/>
      <c r="S74" s="71"/>
      <c r="T74" s="478"/>
      <c r="U74" s="478"/>
      <c r="V74" s="478"/>
      <c r="W74" s="64"/>
      <c r="X74" s="128" t="str">
        <f>""&amp;TEXT($G$74,"0,0")&amp;" шт. х "&amp;TEXT($I$38,"0,0")&amp;" раз х "&amp;TEXT(ROUND((K74),2),"000,00")&amp;" руб. = "&amp;TEXT(ROUND((M74),2),"000,00")&amp;" руб. = "&amp;TEXT(O74,"0 000,00")&amp;" руб."</f>
        <v>0,0 шт. х 1,0 раз х 118,65 руб. = 000,00 руб. = 0 000,00 руб.</v>
      </c>
    </row>
    <row r="75" spans="1:24" ht="27" customHeight="1" x14ac:dyDescent="0.25">
      <c r="A75" s="87"/>
      <c r="B75" s="119"/>
      <c r="C75" s="82"/>
      <c r="D75" s="83"/>
      <c r="E75" s="84"/>
      <c r="F75" s="68"/>
      <c r="G75" s="98"/>
      <c r="H75" s="67"/>
      <c r="I75" s="69"/>
      <c r="J75" s="67"/>
      <c r="K75" s="69"/>
      <c r="L75" s="67"/>
      <c r="M75" s="70"/>
      <c r="N75" s="71"/>
      <c r="O75" s="70"/>
      <c r="P75" s="71"/>
      <c r="Q75" s="70"/>
      <c r="R75" s="71"/>
      <c r="S75" s="65"/>
      <c r="T75" s="111"/>
      <c r="U75" s="111"/>
      <c r="V75" s="111"/>
      <c r="W75" s="85"/>
      <c r="X75" s="86"/>
    </row>
    <row r="76" spans="1:24" ht="91.5" customHeight="1" x14ac:dyDescent="0.25">
      <c r="A76" s="630" t="s">
        <v>12</v>
      </c>
      <c r="B76" s="120" t="s">
        <v>109</v>
      </c>
      <c r="C76" s="88"/>
      <c r="D76" s="632" t="s">
        <v>35</v>
      </c>
      <c r="E76" s="632" t="s">
        <v>35</v>
      </c>
      <c r="F76" s="423"/>
      <c r="G76" s="424"/>
      <c r="H76" s="424"/>
      <c r="I76" s="424"/>
      <c r="J76" s="424"/>
      <c r="K76" s="424"/>
      <c r="L76" s="424"/>
      <c r="M76" s="424"/>
      <c r="N76" s="424"/>
      <c r="O76" s="424"/>
      <c r="P76" s="424"/>
      <c r="Q76" s="424"/>
      <c r="R76" s="424"/>
      <c r="S76" s="424"/>
      <c r="T76" s="633">
        <f>SUM(T78,T83,T94,T99)</f>
        <v>620000</v>
      </c>
      <c r="U76" s="633">
        <f>SUM(U78,U83,U94,U99)</f>
        <v>645600</v>
      </c>
      <c r="V76" s="633">
        <f>SUM(V78,V83,V94,V99)</f>
        <v>671600</v>
      </c>
      <c r="W76" s="90"/>
      <c r="X76" s="86" t="str">
        <f>"Нормативные "&amp;TEXT(B76,"0")&amp;""</f>
        <v>Нормативные 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</v>
      </c>
    </row>
    <row r="77" spans="1:24" ht="95.25" customHeight="1" x14ac:dyDescent="0.25">
      <c r="A77" s="631"/>
      <c r="B77" s="121" t="s">
        <v>119</v>
      </c>
      <c r="C77" s="88"/>
      <c r="D77" s="437"/>
      <c r="E77" s="437"/>
      <c r="F77" s="424"/>
      <c r="G77" s="424"/>
      <c r="H77" s="424"/>
      <c r="I77" s="424"/>
      <c r="J77" s="424"/>
      <c r="K77" s="424"/>
      <c r="L77" s="424"/>
      <c r="M77" s="424"/>
      <c r="N77" s="424"/>
      <c r="O77" s="424"/>
      <c r="P77" s="424"/>
      <c r="Q77" s="424"/>
      <c r="R77" s="424"/>
      <c r="S77" s="424"/>
      <c r="T77" s="634"/>
      <c r="U77" s="634"/>
      <c r="V77" s="634"/>
      <c r="W77" s="90"/>
      <c r="X77" s="91" t="str">
        <f>""&amp;TEXT(B77,"0")&amp;" включают в себя:
нормативные "&amp;TEXT(B78,"0")&amp;";
нормативные "&amp;TEXT(B83,"0")&amp;";
нормативные "&amp;TEXT(B94,"0")&amp;";
нормативные "&amp;TEXT(B99,"0")&amp;""</f>
        <v>заключаемым со сторонними организациями, а также к затратам на коммунальные услуги, аренду помещений и оборудования, содержание имущества включают в себя:
нормативные затраты на оплату типографских работ и услуг, включая приобретение периодических печатных изданий;
нормативные затраты на проведение предрейсового и послерейсового осмотра водителей транспортных средств;
нормативные затраты на оплату услуг охраны объекта;
нормативные затраты на приобретение полисов обязательного страхования гражданской ответственности владельцев транспортных средств</v>
      </c>
    </row>
    <row r="78" spans="1:24" ht="31.5" x14ac:dyDescent="0.25">
      <c r="A78" s="60" t="s">
        <v>13</v>
      </c>
      <c r="B78" s="125" t="s">
        <v>104</v>
      </c>
      <c r="C78" s="52"/>
      <c r="D78" s="89" t="s">
        <v>35</v>
      </c>
      <c r="E78" s="89" t="s">
        <v>35</v>
      </c>
      <c r="F78" s="423"/>
      <c r="G78" s="424"/>
      <c r="H78" s="424"/>
      <c r="I78" s="424"/>
      <c r="J78" s="424"/>
      <c r="K78" s="424"/>
      <c r="L78" s="424"/>
      <c r="M78" s="424"/>
      <c r="N78" s="424"/>
      <c r="O78" s="424"/>
      <c r="P78" s="424"/>
      <c r="Q78" s="424"/>
      <c r="R78" s="424"/>
      <c r="S78" s="424"/>
      <c r="T78" s="110">
        <f>SUM(T79)</f>
        <v>429500</v>
      </c>
      <c r="U78" s="110">
        <f>SUM(U79)</f>
        <v>447300</v>
      </c>
      <c r="V78" s="110">
        <f>SUM(V79)</f>
        <v>465200</v>
      </c>
      <c r="W78" s="52"/>
      <c r="X78" s="92" t="str">
        <f>"Нормативные "&amp;TEXT(B78,"0")&amp;" включают в себя:
нормативные "&amp;TEXT(B79,"0")&amp;""</f>
        <v>Нормативные затраты на оплату типографских работ и услуг, включая приобретение периодических печатных изданий включают в себя:
нормативные затраты на приобретение периодических печатных изданий</v>
      </c>
    </row>
    <row r="79" spans="1:24" ht="105.75" customHeight="1" x14ac:dyDescent="0.25">
      <c r="A79" s="383" t="s">
        <v>130</v>
      </c>
      <c r="B79" s="617" t="s">
        <v>103</v>
      </c>
      <c r="C79" s="64"/>
      <c r="D79" s="619">
        <v>226</v>
      </c>
      <c r="E79" s="619">
        <v>244</v>
      </c>
      <c r="F79" s="380" t="s">
        <v>52</v>
      </c>
      <c r="G79" s="380"/>
      <c r="H79" s="380"/>
      <c r="I79" s="380"/>
      <c r="J79" s="380"/>
      <c r="K79" s="380"/>
      <c r="L79" s="380"/>
      <c r="M79" s="380"/>
      <c r="N79" s="380"/>
      <c r="O79" s="380"/>
      <c r="P79" s="380"/>
      <c r="Q79" s="380"/>
      <c r="R79" s="380"/>
      <c r="S79" s="65"/>
      <c r="T79" s="477">
        <f>O80</f>
        <v>429500</v>
      </c>
      <c r="U79" s="477">
        <f>O81</f>
        <v>447300</v>
      </c>
      <c r="V79" s="477">
        <f>O82</f>
        <v>465200</v>
      </c>
      <c r="W79" s="64"/>
      <c r="X79" s="73" t="s">
        <v>51</v>
      </c>
    </row>
    <row r="80" spans="1:24" ht="21.75" customHeight="1" x14ac:dyDescent="0.25">
      <c r="A80" s="383"/>
      <c r="B80" s="618"/>
      <c r="C80" s="64"/>
      <c r="D80" s="437"/>
      <c r="E80" s="437"/>
      <c r="F80" s="68" t="s">
        <v>150</v>
      </c>
      <c r="G80" s="98">
        <v>213</v>
      </c>
      <c r="H80" s="67" t="s">
        <v>48</v>
      </c>
      <c r="I80" s="98">
        <v>168</v>
      </c>
      <c r="J80" s="67" t="s">
        <v>49</v>
      </c>
      <c r="K80" s="98">
        <v>12</v>
      </c>
      <c r="L80" s="67" t="s">
        <v>50</v>
      </c>
      <c r="M80" s="98">
        <f>ROUND((G80*I80*K80),2)</f>
        <v>429408</v>
      </c>
      <c r="N80" s="67" t="s">
        <v>41</v>
      </c>
      <c r="O80" s="70">
        <f>ROUNDUP((M80),-2)</f>
        <v>429500</v>
      </c>
      <c r="P80" s="71" t="s">
        <v>37</v>
      </c>
      <c r="Q80" s="67"/>
      <c r="R80" s="65"/>
      <c r="S80" s="65"/>
      <c r="T80" s="477"/>
      <c r="U80" s="477"/>
      <c r="V80" s="477"/>
      <c r="W80" s="64"/>
      <c r="X80" s="73" t="str">
        <f>""&amp;TEXT(G80,"000,00")&amp;" шт.ед. х норматив "&amp;TEXT(I80,"0,00")&amp;" руб. х "&amp;TEXT(K80,"00,0")&amp;" мес.  = "&amp;TEXT(M80,"0 000,00")&amp;" руб. = "&amp;TEXT(O80,"0 000,00")&amp;" руб."</f>
        <v>213,00 шт.ед. х норматив 168,00 руб. х 12,0 мес.  = 429 408,00 руб. = 429 500,00 руб.</v>
      </c>
    </row>
    <row r="81" spans="1:24" ht="20.25" customHeight="1" x14ac:dyDescent="0.25">
      <c r="A81" s="383"/>
      <c r="B81" s="618"/>
      <c r="C81" s="64"/>
      <c r="D81" s="437"/>
      <c r="E81" s="437"/>
      <c r="F81" s="68" t="s">
        <v>151</v>
      </c>
      <c r="G81" s="98">
        <v>213</v>
      </c>
      <c r="H81" s="67" t="s">
        <v>48</v>
      </c>
      <c r="I81" s="98">
        <v>175</v>
      </c>
      <c r="J81" s="67" t="s">
        <v>49</v>
      </c>
      <c r="K81" s="98">
        <v>12</v>
      </c>
      <c r="L81" s="67" t="s">
        <v>50</v>
      </c>
      <c r="M81" s="98">
        <f t="shared" ref="M81:M82" si="12">ROUND((G81*I81*K81),2)</f>
        <v>447300</v>
      </c>
      <c r="N81" s="67" t="s">
        <v>41</v>
      </c>
      <c r="O81" s="70">
        <f>ROUNDUP((M81),-2)</f>
        <v>447300</v>
      </c>
      <c r="P81" s="71" t="s">
        <v>37</v>
      </c>
      <c r="Q81" s="67"/>
      <c r="R81" s="65"/>
      <c r="S81" s="65"/>
      <c r="T81" s="477"/>
      <c r="U81" s="477"/>
      <c r="V81" s="477"/>
      <c r="W81" s="64"/>
      <c r="X81" s="73" t="str">
        <f t="shared" ref="X81:X82" si="13">""&amp;TEXT(G81,"000,00")&amp;" шт.ед. х норматив "&amp;TEXT(I81,"0,00")&amp;" руб. х "&amp;TEXT(K81,"00,0")&amp;" мес.  = "&amp;TEXT(M81,"0 000,00")&amp;" руб. = "&amp;TEXT(O81,"0 000,00")&amp;" руб."</f>
        <v>213,00 шт.ед. х норматив 175,00 руб. х 12,0 мес.  = 447 300,00 руб. = 447 300,00 руб.</v>
      </c>
    </row>
    <row r="82" spans="1:24" ht="22.5" customHeight="1" x14ac:dyDescent="0.25">
      <c r="A82" s="383"/>
      <c r="B82" s="618"/>
      <c r="C82" s="64"/>
      <c r="D82" s="437"/>
      <c r="E82" s="437"/>
      <c r="F82" s="68" t="s">
        <v>193</v>
      </c>
      <c r="G82" s="98">
        <v>213</v>
      </c>
      <c r="H82" s="67" t="s">
        <v>48</v>
      </c>
      <c r="I82" s="98">
        <v>182</v>
      </c>
      <c r="J82" s="67" t="s">
        <v>49</v>
      </c>
      <c r="K82" s="98">
        <v>12</v>
      </c>
      <c r="L82" s="67" t="s">
        <v>50</v>
      </c>
      <c r="M82" s="98">
        <f t="shared" si="12"/>
        <v>465192</v>
      </c>
      <c r="N82" s="67" t="s">
        <v>41</v>
      </c>
      <c r="O82" s="70">
        <f>ROUNDUP((M82),-2)</f>
        <v>465200</v>
      </c>
      <c r="P82" s="71" t="s">
        <v>37</v>
      </c>
      <c r="Q82" s="67"/>
      <c r="R82" s="65"/>
      <c r="S82" s="65"/>
      <c r="T82" s="477"/>
      <c r="U82" s="477"/>
      <c r="V82" s="477"/>
      <c r="W82" s="64"/>
      <c r="X82" s="73" t="str">
        <f t="shared" si="13"/>
        <v>213,00 шт.ед. х норматив 182,00 руб. х 12,0 мес.  = 465 192,00 руб. = 465 200,00 руб.</v>
      </c>
    </row>
    <row r="83" spans="1:24" ht="45" x14ac:dyDescent="0.25">
      <c r="A83" s="60" t="s">
        <v>30</v>
      </c>
      <c r="B83" s="117" t="s">
        <v>105</v>
      </c>
      <c r="C83" s="52"/>
      <c r="D83" s="89" t="s">
        <v>35</v>
      </c>
      <c r="E83" s="89" t="s">
        <v>35</v>
      </c>
      <c r="F83" s="380"/>
      <c r="G83" s="380"/>
      <c r="H83" s="380"/>
      <c r="I83" s="380"/>
      <c r="J83" s="380"/>
      <c r="K83" s="380"/>
      <c r="L83" s="380"/>
      <c r="M83" s="380"/>
      <c r="N83" s="380"/>
      <c r="O83" s="380"/>
      <c r="P83" s="380"/>
      <c r="Q83" s="380"/>
      <c r="R83" s="380"/>
      <c r="S83" s="58"/>
      <c r="T83" s="110">
        <f>SUM(T84,T89)</f>
        <v>29400</v>
      </c>
      <c r="U83" s="110">
        <f t="shared" ref="U83:V83" si="14">SUM(U84,U89)</f>
        <v>30600</v>
      </c>
      <c r="V83" s="110">
        <f t="shared" si="14"/>
        <v>31900</v>
      </c>
      <c r="W83" s="52"/>
      <c r="X83" s="73" t="str">
        <f>"Нормативные "&amp;TEXT(B83,"0")&amp;" включают в себя:
нормативные "&amp;TEXT(B84,"0")&amp;";
нормативные "&amp;TEXT(B89,"0")&amp;""</f>
        <v>Нормативные затраты на проведение предрейсового и послерейсового осмотра водителей транспортных средств включают в себя:
нормативные затраты на проведение периодического медицинского осмотра;
нормативные затраты на проведение предрейсового медицинского осмотра</v>
      </c>
    </row>
    <row r="84" spans="1:24" ht="124.5" customHeight="1" x14ac:dyDescent="0.25">
      <c r="A84" s="383" t="s">
        <v>125</v>
      </c>
      <c r="B84" s="617" t="s">
        <v>106</v>
      </c>
      <c r="C84" s="64"/>
      <c r="D84" s="619">
        <v>226</v>
      </c>
      <c r="E84" s="619">
        <v>244</v>
      </c>
      <c r="F84" s="380" t="s">
        <v>148</v>
      </c>
      <c r="G84" s="380"/>
      <c r="H84" s="380"/>
      <c r="I84" s="380"/>
      <c r="J84" s="380"/>
      <c r="K84" s="380"/>
      <c r="L84" s="380"/>
      <c r="M84" s="380"/>
      <c r="N84" s="380"/>
      <c r="O84" s="380"/>
      <c r="P84" s="380"/>
      <c r="Q84" s="380"/>
      <c r="R84" s="380"/>
      <c r="S84" s="65"/>
      <c r="T84" s="477">
        <f>O86</f>
        <v>2900</v>
      </c>
      <c r="U84" s="420">
        <f>O87</f>
        <v>3000</v>
      </c>
      <c r="V84" s="477">
        <f>O88</f>
        <v>3100</v>
      </c>
      <c r="W84" s="64"/>
      <c r="X84" s="73" t="s">
        <v>74</v>
      </c>
    </row>
    <row r="85" spans="1:24" ht="20.25" customHeight="1" outlineLevel="1" x14ac:dyDescent="0.25">
      <c r="A85" s="383"/>
      <c r="B85" s="618"/>
      <c r="C85" s="64"/>
      <c r="D85" s="437"/>
      <c r="E85" s="620"/>
      <c r="F85" s="61"/>
      <c r="G85" s="98"/>
      <c r="H85" s="67" t="s">
        <v>66</v>
      </c>
      <c r="I85" s="98">
        <v>1</v>
      </c>
      <c r="J85" s="67" t="s">
        <v>73</v>
      </c>
      <c r="K85" s="98">
        <v>2751.67</v>
      </c>
      <c r="L85" s="67" t="s">
        <v>41</v>
      </c>
      <c r="M85" s="98">
        <f>ROUND((G85*I85*K85),2)</f>
        <v>0</v>
      </c>
      <c r="N85" s="67" t="s">
        <v>37</v>
      </c>
      <c r="O85" s="67"/>
      <c r="P85" s="67"/>
      <c r="Q85" s="67"/>
      <c r="R85" s="65"/>
      <c r="S85" s="65"/>
      <c r="T85" s="477"/>
      <c r="U85" s="421"/>
      <c r="V85" s="477"/>
      <c r="W85" s="64"/>
    </row>
    <row r="86" spans="1:24" ht="15" x14ac:dyDescent="0.25">
      <c r="A86" s="383"/>
      <c r="B86" s="618"/>
      <c r="C86" s="64"/>
      <c r="D86" s="437"/>
      <c r="E86" s="620"/>
      <c r="F86" s="68" t="s">
        <v>150</v>
      </c>
      <c r="G86" s="98">
        <v>1</v>
      </c>
      <c r="H86" s="65" t="s">
        <v>195</v>
      </c>
      <c r="I86" s="69">
        <v>1</v>
      </c>
      <c r="J86" s="67" t="s">
        <v>25</v>
      </c>
      <c r="K86" s="98">
        <f>2751.67*1.0389</f>
        <v>2858.7099629999998</v>
      </c>
      <c r="L86" s="67" t="s">
        <v>41</v>
      </c>
      <c r="M86" s="70">
        <f>K86*I86*G86</f>
        <v>2858.7099629999998</v>
      </c>
      <c r="N86" s="71" t="s">
        <v>37</v>
      </c>
      <c r="O86" s="70">
        <f>ROUNDUP((M86),-2)</f>
        <v>2900</v>
      </c>
      <c r="P86" s="71" t="s">
        <v>37</v>
      </c>
      <c r="Q86" s="72"/>
      <c r="R86" s="71" t="s">
        <v>37</v>
      </c>
      <c r="S86" s="65"/>
      <c r="T86" s="477"/>
      <c r="U86" s="421"/>
      <c r="V86" s="477"/>
      <c r="W86" s="64"/>
      <c r="X86" s="73" t="str">
        <f>""&amp;TEXT(G86,"0,0")&amp;" чел. х "&amp;TEXT(I86,"0,0")&amp;" раз х "&amp;TEXT(ROUND((K86),2),"0 000,00")&amp;" руб. = "&amp;TEXT(ROUND((M86),2),"0 000,00")&amp;" руб. = "&amp;TEXT(O86,"0 000,00")&amp;" руб."</f>
        <v>1,0 чел. х 1,0 раз х 2 858,71 руб. = 2 858,71 руб. = 2 900,00 руб.</v>
      </c>
    </row>
    <row r="87" spans="1:24" ht="15" customHeight="1" outlineLevel="1" collapsed="1" x14ac:dyDescent="0.25">
      <c r="A87" s="383"/>
      <c r="B87" s="618"/>
      <c r="C87" s="64"/>
      <c r="D87" s="437"/>
      <c r="E87" s="620"/>
      <c r="F87" s="68" t="s">
        <v>151</v>
      </c>
      <c r="G87" s="98">
        <v>1</v>
      </c>
      <c r="H87" s="67" t="str">
        <f>H86</f>
        <v xml:space="preserve">руб. х индекс потребительских цен </v>
      </c>
      <c r="I87" s="69">
        <v>1</v>
      </c>
      <c r="J87" s="67" t="s">
        <v>25</v>
      </c>
      <c r="K87" s="69">
        <f>K86*1.0408</f>
        <v>2975.3453294903998</v>
      </c>
      <c r="L87" s="67" t="s">
        <v>41</v>
      </c>
      <c r="M87" s="70">
        <f t="shared" ref="M87:M88" si="15">K87*I87*G87</f>
        <v>2975.3453294903998</v>
      </c>
      <c r="N87" s="71" t="s">
        <v>37</v>
      </c>
      <c r="O87" s="70">
        <f>ROUNDUP((M87),-2)</f>
        <v>3000</v>
      </c>
      <c r="P87" s="71" t="s">
        <v>37</v>
      </c>
      <c r="Q87" s="93"/>
      <c r="R87" s="71" t="s">
        <v>37</v>
      </c>
      <c r="S87" s="65"/>
      <c r="T87" s="477"/>
      <c r="U87" s="421"/>
      <c r="V87" s="477"/>
      <c r="W87" s="64"/>
      <c r="X87" s="73" t="str">
        <f t="shared" ref="X87:X88" si="16">""&amp;TEXT(G87,"0,0")&amp;" чел. х "&amp;TEXT(I87,"0,0")&amp;" раз х "&amp;TEXT(ROUND((K87),2),"0 000,00")&amp;" руб. = "&amp;TEXT(ROUND((M87),2),"0 000,00")&amp;" руб. = "&amp;TEXT(O87,"0 000,00")&amp;" руб."</f>
        <v>1,0 чел. х 1,0 раз х 2 975,35 руб. = 2 975,35 руб. = 3 000,00 руб.</v>
      </c>
    </row>
    <row r="88" spans="1:24" ht="15" x14ac:dyDescent="0.25">
      <c r="A88" s="383"/>
      <c r="B88" s="618"/>
      <c r="C88" s="64"/>
      <c r="D88" s="437"/>
      <c r="E88" s="620"/>
      <c r="F88" s="68" t="s">
        <v>193</v>
      </c>
      <c r="G88" s="98">
        <v>1</v>
      </c>
      <c r="H88" s="67" t="str">
        <f>H86</f>
        <v xml:space="preserve">руб. х индекс потребительских цен </v>
      </c>
      <c r="I88" s="69">
        <v>1</v>
      </c>
      <c r="J88" s="67" t="s">
        <v>25</v>
      </c>
      <c r="K88" s="69">
        <f>K87*1.0408</f>
        <v>3096.7394189336078</v>
      </c>
      <c r="L88" s="67" t="s">
        <v>41</v>
      </c>
      <c r="M88" s="70">
        <f t="shared" si="15"/>
        <v>3096.7394189336078</v>
      </c>
      <c r="N88" s="71" t="s">
        <v>37</v>
      </c>
      <c r="O88" s="70">
        <f>ROUNDUP((M88),-2)</f>
        <v>3100</v>
      </c>
      <c r="P88" s="71" t="s">
        <v>37</v>
      </c>
      <c r="Q88" s="70"/>
      <c r="R88" s="71" t="s">
        <v>37</v>
      </c>
      <c r="S88" s="65"/>
      <c r="T88" s="478"/>
      <c r="U88" s="422"/>
      <c r="V88" s="478"/>
      <c r="W88" s="64"/>
      <c r="X88" s="73" t="str">
        <f t="shared" si="16"/>
        <v>1,0 чел. х 1,0 раз х 3 096,74 руб. = 3 096,74 руб. = 3 100,00 руб.</v>
      </c>
    </row>
    <row r="89" spans="1:24" ht="120.75" customHeight="1" x14ac:dyDescent="0.25">
      <c r="A89" s="383" t="s">
        <v>126</v>
      </c>
      <c r="B89" s="628" t="s">
        <v>107</v>
      </c>
      <c r="C89" s="64"/>
      <c r="D89" s="619">
        <v>226</v>
      </c>
      <c r="E89" s="619">
        <v>244</v>
      </c>
      <c r="F89" s="380" t="s">
        <v>182</v>
      </c>
      <c r="G89" s="380"/>
      <c r="H89" s="380"/>
      <c r="I89" s="380"/>
      <c r="J89" s="380"/>
      <c r="K89" s="380"/>
      <c r="L89" s="380"/>
      <c r="M89" s="380"/>
      <c r="N89" s="380"/>
      <c r="O89" s="380"/>
      <c r="P89" s="380"/>
      <c r="Q89" s="380"/>
      <c r="R89" s="380"/>
      <c r="S89" s="65"/>
      <c r="T89" s="477">
        <f>O91</f>
        <v>26500</v>
      </c>
      <c r="U89" s="477">
        <f>O92</f>
        <v>27600</v>
      </c>
      <c r="V89" s="477">
        <f>Q93</f>
        <v>28800</v>
      </c>
      <c r="W89" s="64"/>
      <c r="X89" s="73" t="s">
        <v>69</v>
      </c>
    </row>
    <row r="90" spans="1:24" ht="17.25" customHeight="1" outlineLevel="1" x14ac:dyDescent="0.25">
      <c r="A90" s="383"/>
      <c r="B90" s="629"/>
      <c r="C90" s="64"/>
      <c r="D90" s="437"/>
      <c r="E90" s="620"/>
      <c r="F90" s="61"/>
      <c r="G90" s="98"/>
      <c r="H90" s="67" t="s">
        <v>66</v>
      </c>
      <c r="I90" s="98"/>
      <c r="J90" s="67" t="s">
        <v>67</v>
      </c>
      <c r="K90" s="98"/>
      <c r="L90" s="67" t="s">
        <v>41</v>
      </c>
      <c r="M90" s="98">
        <f>ROUND((G90*I90*K90),2)</f>
        <v>0</v>
      </c>
      <c r="N90" s="67" t="s">
        <v>37</v>
      </c>
      <c r="O90" s="67"/>
      <c r="P90" s="67"/>
      <c r="Q90" s="67"/>
      <c r="R90" s="65"/>
      <c r="S90" s="65"/>
      <c r="T90" s="477"/>
      <c r="U90" s="477"/>
      <c r="V90" s="477"/>
      <c r="W90" s="64"/>
    </row>
    <row r="91" spans="1:24" ht="18.75" customHeight="1" x14ac:dyDescent="0.25">
      <c r="A91" s="383"/>
      <c r="B91" s="629"/>
      <c r="C91" s="64"/>
      <c r="D91" s="437"/>
      <c r="E91" s="620"/>
      <c r="F91" s="68" t="s">
        <v>150</v>
      </c>
      <c r="G91" s="98">
        <v>1</v>
      </c>
      <c r="H91" s="65" t="s">
        <v>195</v>
      </c>
      <c r="I91" s="69">
        <v>223</v>
      </c>
      <c r="J91" s="67" t="s">
        <v>25</v>
      </c>
      <c r="K91" s="98">
        <v>118.82</v>
      </c>
      <c r="L91" s="67" t="s">
        <v>41</v>
      </c>
      <c r="M91" s="98">
        <f>ROUND((G91*I91*K91),2)</f>
        <v>26496.86</v>
      </c>
      <c r="N91" s="71" t="s">
        <v>37</v>
      </c>
      <c r="O91" s="70">
        <f>ROUNDUP((M91),-2)</f>
        <v>26500</v>
      </c>
      <c r="P91" s="71" t="s">
        <v>37</v>
      </c>
      <c r="Q91" s="70">
        <f t="shared" ref="Q91:Q92" si="17">ROUNDUP((O91),-2)</f>
        <v>26500</v>
      </c>
      <c r="R91" s="72"/>
      <c r="S91" s="65"/>
      <c r="T91" s="477"/>
      <c r="U91" s="477"/>
      <c r="V91" s="477"/>
      <c r="W91" s="64"/>
      <c r="X91" s="73" t="str">
        <f>""&amp;TEXT(G91,"0,0")&amp;" чел. х "&amp;TEXT(I91,"0,0")&amp;" раз х "&amp;TEXT(ROUND((K91),2),"0,00")&amp;" руб. = "&amp;TEXT(ROUND((M91),2),"0 000,00")&amp;" руб. = "&amp;TEXT(O91,"0 000,00")&amp;" руб."</f>
        <v>1,0 чел. х 223,0 раз х 118,82 руб. = 26 496,86 руб. = 26 500,00 руб.</v>
      </c>
    </row>
    <row r="92" spans="1:24" ht="19.5" customHeight="1" x14ac:dyDescent="0.25">
      <c r="A92" s="383"/>
      <c r="B92" s="629"/>
      <c r="C92" s="64"/>
      <c r="D92" s="437"/>
      <c r="E92" s="620"/>
      <c r="F92" s="68" t="s">
        <v>151</v>
      </c>
      <c r="G92" s="98">
        <v>1</v>
      </c>
      <c r="H92" s="67" t="str">
        <f>H91</f>
        <v xml:space="preserve">руб. х индекс потребительских цен </v>
      </c>
      <c r="I92" s="69">
        <v>223</v>
      </c>
      <c r="J92" s="67" t="s">
        <v>25</v>
      </c>
      <c r="K92" s="69">
        <v>123.66</v>
      </c>
      <c r="L92" s="67" t="s">
        <v>41</v>
      </c>
      <c r="M92" s="98">
        <f>ROUND((G92*I92*K92),2)</f>
        <v>27576.18</v>
      </c>
      <c r="N92" s="71" t="s">
        <v>37</v>
      </c>
      <c r="O92" s="70">
        <f>ROUNDUP((M92),-2)</f>
        <v>27600</v>
      </c>
      <c r="P92" s="71" t="s">
        <v>37</v>
      </c>
      <c r="Q92" s="70">
        <f t="shared" si="17"/>
        <v>27600</v>
      </c>
      <c r="R92" s="72"/>
      <c r="S92" s="65"/>
      <c r="T92" s="477"/>
      <c r="U92" s="477"/>
      <c r="V92" s="477"/>
      <c r="W92" s="64"/>
      <c r="X92" s="73" t="str">
        <f t="shared" ref="X92:X93" si="18">""&amp;TEXT(G92,"0,0")&amp;" чел. х "&amp;TEXT(I92,"0,0")&amp;" раз х "&amp;TEXT(ROUND((K92),2),"0,00")&amp;" руб. = "&amp;TEXT(ROUND((M92),2),"0 000,00")&amp;" руб. = "&amp;TEXT(O92,"0 000,00")&amp;" руб."</f>
        <v>1,0 чел. х 223,0 раз х 123,66 руб. = 27 576,18 руб. = 27 600,00 руб.</v>
      </c>
    </row>
    <row r="93" spans="1:24" ht="19.5" customHeight="1" x14ac:dyDescent="0.25">
      <c r="A93" s="383"/>
      <c r="B93" s="629"/>
      <c r="C93" s="64"/>
      <c r="D93" s="437"/>
      <c r="E93" s="620"/>
      <c r="F93" s="68" t="s">
        <v>193</v>
      </c>
      <c r="G93" s="98">
        <v>1</v>
      </c>
      <c r="H93" s="67" t="str">
        <f>H91</f>
        <v xml:space="preserve">руб. х индекс потребительских цен </v>
      </c>
      <c r="I93" s="69">
        <v>223</v>
      </c>
      <c r="J93" s="67" t="s">
        <v>25</v>
      </c>
      <c r="K93" s="69">
        <f>K92*1.0408</f>
        <v>128.70532799999998</v>
      </c>
      <c r="L93" s="67" t="s">
        <v>41</v>
      </c>
      <c r="M93" s="98">
        <f>ROUND((G93*I93*K93),2)</f>
        <v>28701.29</v>
      </c>
      <c r="N93" s="71" t="s">
        <v>37</v>
      </c>
      <c r="O93" s="70">
        <f>ROUNDUP((M93),-2)</f>
        <v>28800</v>
      </c>
      <c r="P93" s="71" t="s">
        <v>37</v>
      </c>
      <c r="Q93" s="70">
        <f>ROUNDUP((O93),-2)</f>
        <v>28800</v>
      </c>
      <c r="R93" s="71" t="s">
        <v>37</v>
      </c>
      <c r="S93" s="65"/>
      <c r="T93" s="478"/>
      <c r="U93" s="478"/>
      <c r="V93" s="478"/>
      <c r="W93" s="64"/>
      <c r="X93" s="73" t="str">
        <f t="shared" si="18"/>
        <v>1,0 чел. х 223,0 раз х 128,71 руб. = 28 701,29 руб. = 28 800,00 руб.</v>
      </c>
    </row>
    <row r="94" spans="1:24" ht="117" customHeight="1" x14ac:dyDescent="0.25">
      <c r="A94" s="383" t="s">
        <v>31</v>
      </c>
      <c r="B94" s="617" t="s">
        <v>184</v>
      </c>
      <c r="C94" s="64"/>
      <c r="D94" s="619">
        <v>226</v>
      </c>
      <c r="E94" s="619">
        <v>244</v>
      </c>
      <c r="F94" s="380" t="s">
        <v>141</v>
      </c>
      <c r="G94" s="380"/>
      <c r="H94" s="380"/>
      <c r="I94" s="380"/>
      <c r="J94" s="380"/>
      <c r="K94" s="380"/>
      <c r="L94" s="380"/>
      <c r="M94" s="380"/>
      <c r="N94" s="380"/>
      <c r="O94" s="380"/>
      <c r="P94" s="380"/>
      <c r="Q94" s="380"/>
      <c r="R94" s="380"/>
      <c r="S94" s="65"/>
      <c r="T94" s="477">
        <f>O96</f>
        <v>150500</v>
      </c>
      <c r="U94" s="477">
        <f>O97</f>
        <v>156600</v>
      </c>
      <c r="V94" s="477">
        <f>O98</f>
        <v>163000</v>
      </c>
      <c r="W94" s="64"/>
      <c r="X94" s="73" t="s">
        <v>185</v>
      </c>
    </row>
    <row r="95" spans="1:24" ht="16.5" customHeight="1" outlineLevel="1" x14ac:dyDescent="0.25">
      <c r="A95" s="383"/>
      <c r="B95" s="618"/>
      <c r="C95" s="64"/>
      <c r="D95" s="437"/>
      <c r="E95" s="620"/>
      <c r="F95" s="61"/>
      <c r="G95" s="98">
        <v>1</v>
      </c>
      <c r="H95" s="67" t="s">
        <v>70</v>
      </c>
      <c r="I95" s="98">
        <v>12</v>
      </c>
      <c r="J95" s="67" t="s">
        <v>63</v>
      </c>
      <c r="K95" s="98"/>
      <c r="L95" s="67" t="s">
        <v>41</v>
      </c>
      <c r="M95" s="98">
        <f>ROUND((G95*I95*K95),2)</f>
        <v>0</v>
      </c>
      <c r="N95" s="67" t="s">
        <v>37</v>
      </c>
      <c r="O95" s="67"/>
      <c r="P95" s="67"/>
      <c r="Q95" s="67"/>
      <c r="R95" s="65"/>
      <c r="S95" s="65"/>
      <c r="T95" s="477"/>
      <c r="U95" s="477"/>
      <c r="V95" s="477"/>
      <c r="W95" s="64"/>
      <c r="X95" s="73"/>
    </row>
    <row r="96" spans="1:24" ht="21" customHeight="1" x14ac:dyDescent="0.25">
      <c r="A96" s="383"/>
      <c r="B96" s="618"/>
      <c r="C96" s="64"/>
      <c r="D96" s="437"/>
      <c r="E96" s="620"/>
      <c r="F96" s="68" t="s">
        <v>150</v>
      </c>
      <c r="G96" s="98">
        <v>1</v>
      </c>
      <c r="H96" s="65" t="s">
        <v>195</v>
      </c>
      <c r="I96" s="69">
        <v>12</v>
      </c>
      <c r="J96" s="67" t="s">
        <v>25</v>
      </c>
      <c r="K96" s="98">
        <v>12536.06</v>
      </c>
      <c r="L96" s="67" t="s">
        <v>41</v>
      </c>
      <c r="M96" s="98">
        <f>ROUND((G96*I96*K96),2)</f>
        <v>150432.72</v>
      </c>
      <c r="N96" s="71" t="s">
        <v>37</v>
      </c>
      <c r="O96" s="70">
        <f>ROUNDUP((M96),-2)</f>
        <v>150500</v>
      </c>
      <c r="P96" s="71" t="s">
        <v>37</v>
      </c>
      <c r="Q96" s="70">
        <f t="shared" ref="Q96:Q97" si="19">ROUNDUP((O96),-2)</f>
        <v>150500</v>
      </c>
      <c r="R96" s="71" t="s">
        <v>37</v>
      </c>
      <c r="S96" s="65"/>
      <c r="T96" s="477"/>
      <c r="U96" s="477"/>
      <c r="V96" s="477"/>
      <c r="W96" s="64"/>
      <c r="X96" s="73" t="str">
        <f>""&amp;TEXT($G$95,"0,0")&amp;" х "&amp;TEXT($I$95,"0,0")&amp;" раз х "&amp;TEXT(ROUND((K96),2),"0 000,00")&amp;" руб. = "&amp;TEXT(ROUND(M96,2),"0 000,00")&amp;" руб. = "&amp;TEXT(O96,"0 000,00")&amp;" руб."</f>
        <v>1,0 х 12,0 раз х 12 536,06 руб. = 150 432,72 руб. = 150 500,00 руб.</v>
      </c>
    </row>
    <row r="97" spans="1:25" ht="21" customHeight="1" x14ac:dyDescent="0.25">
      <c r="A97" s="383"/>
      <c r="B97" s="618"/>
      <c r="C97" s="64"/>
      <c r="D97" s="437"/>
      <c r="E97" s="620"/>
      <c r="F97" s="68" t="s">
        <v>151</v>
      </c>
      <c r="G97" s="98">
        <v>1</v>
      </c>
      <c r="H97" s="67" t="str">
        <f>H96</f>
        <v xml:space="preserve">руб. х индекс потребительских цен </v>
      </c>
      <c r="I97" s="69">
        <v>12</v>
      </c>
      <c r="J97" s="67" t="s">
        <v>25</v>
      </c>
      <c r="K97" s="69">
        <v>13047.54</v>
      </c>
      <c r="L97" s="67" t="s">
        <v>41</v>
      </c>
      <c r="M97" s="98">
        <f>ROUND((G97*I97*K97),2)</f>
        <v>156570.48000000001</v>
      </c>
      <c r="N97" s="71" t="s">
        <v>37</v>
      </c>
      <c r="O97" s="70">
        <f>ROUNDUP((M97),-2)</f>
        <v>156600</v>
      </c>
      <c r="P97" s="71" t="s">
        <v>37</v>
      </c>
      <c r="Q97" s="70">
        <f t="shared" si="19"/>
        <v>156600</v>
      </c>
      <c r="R97" s="71" t="s">
        <v>37</v>
      </c>
      <c r="S97" s="65"/>
      <c r="T97" s="477"/>
      <c r="U97" s="477"/>
      <c r="V97" s="477"/>
      <c r="W97" s="64"/>
      <c r="X97" s="73" t="str">
        <f t="shared" ref="X97:X98" si="20">""&amp;TEXT($G$95,"0,0")&amp;" х "&amp;TEXT($I$95,"0,0")&amp;" раз х "&amp;TEXT(ROUND((K97),2),"0 000,00")&amp;" руб. = "&amp;TEXT(ROUND(M97,2),"0 000,00")&amp;" руб. = "&amp;TEXT(O97,"0 000,00")&amp;" руб."</f>
        <v>1,0 х 12,0 раз х 13 047,54 руб. = 156 570,48 руб. = 156 600,00 руб.</v>
      </c>
    </row>
    <row r="98" spans="1:25" ht="21" customHeight="1" x14ac:dyDescent="0.25">
      <c r="A98" s="383"/>
      <c r="B98" s="618"/>
      <c r="C98" s="64"/>
      <c r="D98" s="437"/>
      <c r="E98" s="620"/>
      <c r="F98" s="68" t="s">
        <v>193</v>
      </c>
      <c r="G98" s="98">
        <v>1</v>
      </c>
      <c r="H98" s="67" t="str">
        <f>H96</f>
        <v xml:space="preserve">руб. х индекс потребительских цен </v>
      </c>
      <c r="I98" s="69">
        <f>$I$96</f>
        <v>12</v>
      </c>
      <c r="J98" s="67" t="s">
        <v>25</v>
      </c>
      <c r="K98" s="69">
        <f>K97*1.0408</f>
        <v>13579.879632</v>
      </c>
      <c r="L98" s="67" t="s">
        <v>41</v>
      </c>
      <c r="M98" s="98">
        <f>ROUND((G98*I98*K98),2)</f>
        <v>162958.56</v>
      </c>
      <c r="N98" s="71" t="s">
        <v>37</v>
      </c>
      <c r="O98" s="70">
        <f>ROUNDUP((M98),-2)</f>
        <v>163000</v>
      </c>
      <c r="P98" s="71" t="s">
        <v>37</v>
      </c>
      <c r="Q98" s="70">
        <f>ROUNDUP((O98),-2)</f>
        <v>163000</v>
      </c>
      <c r="R98" s="71" t="s">
        <v>37</v>
      </c>
      <c r="S98" s="65"/>
      <c r="T98" s="478"/>
      <c r="U98" s="478"/>
      <c r="V98" s="478"/>
      <c r="W98" s="64"/>
      <c r="X98" s="73" t="str">
        <f t="shared" si="20"/>
        <v>1,0 х 12,0 раз х 13 579,88 руб. = 162 958,56 руб. = 163 000,00 руб.</v>
      </c>
    </row>
    <row r="99" spans="1:25" ht="75" x14ac:dyDescent="0.25">
      <c r="A99" s="383" t="s">
        <v>131</v>
      </c>
      <c r="B99" s="617" t="s">
        <v>108</v>
      </c>
      <c r="C99" s="64"/>
      <c r="D99" s="619">
        <v>227</v>
      </c>
      <c r="E99" s="619">
        <v>244</v>
      </c>
      <c r="F99" s="380" t="s">
        <v>141</v>
      </c>
      <c r="G99" s="380"/>
      <c r="H99" s="380"/>
      <c r="I99" s="380"/>
      <c r="J99" s="380"/>
      <c r="K99" s="380"/>
      <c r="L99" s="380"/>
      <c r="M99" s="380"/>
      <c r="N99" s="380"/>
      <c r="O99" s="380"/>
      <c r="P99" s="380"/>
      <c r="Q99" s="380"/>
      <c r="R99" s="380"/>
      <c r="S99" s="65"/>
      <c r="T99" s="477">
        <f>M101</f>
        <v>10600</v>
      </c>
      <c r="U99" s="477">
        <f>O102</f>
        <v>11100</v>
      </c>
      <c r="V99" s="477">
        <f>Q103</f>
        <v>11500</v>
      </c>
      <c r="W99" s="64"/>
      <c r="X99" s="73" t="s">
        <v>71</v>
      </c>
    </row>
    <row r="100" spans="1:25" ht="15.75" customHeight="1" outlineLevel="1" x14ac:dyDescent="0.25">
      <c r="A100" s="383"/>
      <c r="B100" s="618"/>
      <c r="C100" s="64"/>
      <c r="D100" s="437"/>
      <c r="E100" s="620"/>
      <c r="F100" s="61"/>
      <c r="G100" s="98">
        <v>1</v>
      </c>
      <c r="H100" s="67" t="s">
        <v>72</v>
      </c>
      <c r="I100" s="98"/>
      <c r="J100" s="67" t="s">
        <v>41</v>
      </c>
      <c r="K100" s="98">
        <f>ROUND((G100*I100),2)</f>
        <v>0</v>
      </c>
      <c r="L100" s="67" t="s">
        <v>37</v>
      </c>
      <c r="M100" s="67"/>
      <c r="N100" s="67"/>
      <c r="O100" s="67"/>
      <c r="P100" s="67"/>
      <c r="Q100" s="67"/>
      <c r="R100" s="65"/>
      <c r="S100" s="65"/>
      <c r="T100" s="477"/>
      <c r="U100" s="477"/>
      <c r="V100" s="477"/>
      <c r="W100" s="64"/>
      <c r="X100" s="73"/>
    </row>
    <row r="101" spans="1:25" ht="19.5" customHeight="1" x14ac:dyDescent="0.25">
      <c r="A101" s="383"/>
      <c r="B101" s="618"/>
      <c r="C101" s="64"/>
      <c r="D101" s="437"/>
      <c r="E101" s="620"/>
      <c r="F101" s="68" t="s">
        <v>150</v>
      </c>
      <c r="G101" s="98">
        <v>1</v>
      </c>
      <c r="H101" s="65" t="s">
        <v>195</v>
      </c>
      <c r="I101" s="69">
        <v>10598.77</v>
      </c>
      <c r="J101" s="67" t="s">
        <v>25</v>
      </c>
      <c r="K101" s="98">
        <f>I101*G101</f>
        <v>10598.77</v>
      </c>
      <c r="L101" s="67" t="s">
        <v>41</v>
      </c>
      <c r="M101" s="70">
        <f>ROUNDUP((K101),-2)</f>
        <v>10600</v>
      </c>
      <c r="N101" s="71" t="s">
        <v>37</v>
      </c>
      <c r="O101" s="70">
        <f>ROUNDUP((M101),-2)</f>
        <v>10600</v>
      </c>
      <c r="P101" s="72"/>
      <c r="Q101" s="72"/>
      <c r="R101" s="72"/>
      <c r="S101" s="65"/>
      <c r="T101" s="477"/>
      <c r="U101" s="477"/>
      <c r="V101" s="477"/>
      <c r="W101" s="64"/>
      <c r="X101" s="73" t="str">
        <f>""&amp;TEXT(G101,"0,0")&amp;" авт. х "&amp;TEXT(ROUND((I101),2),"0 000,00")&amp;" руб. = "&amp;TEXT(ROUND(($G$100*(ROUND((K101/$G$100),2))),2),"0 000,00")&amp;" руб. = "&amp;TEXT(M101,"0 000,00")&amp;" руб."</f>
        <v>1,0 авт. х 10 598,77 руб. = 10 598,77 руб. = 10 600,00 руб.</v>
      </c>
    </row>
    <row r="102" spans="1:25" ht="19.5" customHeight="1" x14ac:dyDescent="0.25">
      <c r="A102" s="383"/>
      <c r="B102" s="618"/>
      <c r="C102" s="64"/>
      <c r="D102" s="437"/>
      <c r="E102" s="620"/>
      <c r="F102" s="68" t="s">
        <v>151</v>
      </c>
      <c r="G102" s="98">
        <v>1</v>
      </c>
      <c r="H102" s="67" t="str">
        <f>H101</f>
        <v xml:space="preserve">руб. х индекс потребительских цен </v>
      </c>
      <c r="I102" s="69">
        <v>11031.2</v>
      </c>
      <c r="J102" s="67" t="s">
        <v>25</v>
      </c>
      <c r="K102" s="98">
        <f t="shared" ref="K102:K103" si="21">I102*G102</f>
        <v>11031.2</v>
      </c>
      <c r="L102" s="67" t="s">
        <v>41</v>
      </c>
      <c r="M102" s="70">
        <f t="shared" ref="M102:M103" si="22">ROUNDUP((K102),-2)</f>
        <v>11100</v>
      </c>
      <c r="N102" s="67" t="s">
        <v>41</v>
      </c>
      <c r="O102" s="70">
        <f>ROUNDUP((M102),-2)</f>
        <v>11100</v>
      </c>
      <c r="P102" s="71" t="s">
        <v>37</v>
      </c>
      <c r="Q102" s="72"/>
      <c r="R102" s="72"/>
      <c r="S102" s="65"/>
      <c r="T102" s="477"/>
      <c r="U102" s="477"/>
      <c r="V102" s="477"/>
      <c r="W102" s="64"/>
      <c r="X102" s="73" t="str">
        <f t="shared" ref="X102:X103" si="23">""&amp;TEXT(G102,"0,0")&amp;" авт. х "&amp;TEXT(ROUND((K102/$G$100),2),"0 000,00")&amp;" руб. = "&amp;TEXT(ROUND(($G$100*(ROUND((K102/$G$100),2))),2),"0 000,00")&amp;" руб. = "&amp;TEXT(M102,"0 000,00")&amp;" руб."</f>
        <v>1,0 авт. х 11 031,20 руб. = 11 031,20 руб. = 11 100,00 руб.</v>
      </c>
    </row>
    <row r="103" spans="1:25" s="95" customFormat="1" ht="19.5" customHeight="1" x14ac:dyDescent="0.25">
      <c r="A103" s="383"/>
      <c r="B103" s="618"/>
      <c r="C103" s="64"/>
      <c r="D103" s="437"/>
      <c r="E103" s="620"/>
      <c r="F103" s="68" t="s">
        <v>193</v>
      </c>
      <c r="G103" s="98">
        <v>1</v>
      </c>
      <c r="H103" s="67" t="str">
        <f>H101</f>
        <v xml:space="preserve">руб. х индекс потребительских цен </v>
      </c>
      <c r="I103" s="69">
        <f>I102*1.0408</f>
        <v>11481.27296</v>
      </c>
      <c r="J103" s="67" t="s">
        <v>25</v>
      </c>
      <c r="K103" s="98">
        <f t="shared" si="21"/>
        <v>11481.27296</v>
      </c>
      <c r="L103" s="67" t="s">
        <v>41</v>
      </c>
      <c r="M103" s="70">
        <f t="shared" si="22"/>
        <v>11500</v>
      </c>
      <c r="N103" s="67" t="s">
        <v>25</v>
      </c>
      <c r="O103" s="70">
        <f>ROUNDUP((M103),-2)</f>
        <v>11500</v>
      </c>
      <c r="P103" s="67" t="s">
        <v>41</v>
      </c>
      <c r="Q103" s="70">
        <f>ROUNDUP((O103),-2)</f>
        <v>11500</v>
      </c>
      <c r="R103" s="71" t="s">
        <v>37</v>
      </c>
      <c r="S103" s="65"/>
      <c r="T103" s="478"/>
      <c r="U103" s="478"/>
      <c r="V103" s="478"/>
      <c r="W103" s="64"/>
      <c r="X103" s="73" t="str">
        <f t="shared" si="23"/>
        <v>1,0 авт. х 11 481,27 руб. = 11 481,27 руб. = 11 500,00 руб.</v>
      </c>
      <c r="Y103" s="94"/>
    </row>
    <row r="104" spans="1:25" s="95" customFormat="1" ht="75" x14ac:dyDescent="0.25">
      <c r="A104" s="97" t="s">
        <v>14</v>
      </c>
      <c r="B104" s="124" t="s">
        <v>101</v>
      </c>
      <c r="C104" s="52"/>
      <c r="D104" s="89" t="s">
        <v>35</v>
      </c>
      <c r="E104" s="89" t="s">
        <v>35</v>
      </c>
      <c r="F104" s="423"/>
      <c r="G104" s="424"/>
      <c r="H104" s="424"/>
      <c r="I104" s="424"/>
      <c r="J104" s="424"/>
      <c r="K104" s="424"/>
      <c r="L104" s="424"/>
      <c r="M104" s="424"/>
      <c r="N104" s="424"/>
      <c r="O104" s="424"/>
      <c r="P104" s="424"/>
      <c r="Q104" s="424"/>
      <c r="R104" s="424"/>
      <c r="S104" s="424"/>
      <c r="T104" s="112">
        <f>SUM(T105,T109,T114)</f>
        <v>2586300</v>
      </c>
      <c r="U104" s="112">
        <f t="shared" ref="U104:V104" si="24">SUM(U105,U109,U114)</f>
        <v>2694100</v>
      </c>
      <c r="V104" s="112">
        <f t="shared" si="24"/>
        <v>2805400</v>
      </c>
      <c r="W104" s="52"/>
      <c r="X104" s="86" t="str">
        <f>"Нормативные "&amp;TEXT(B104,"0")&amp;" включают в себя:
нормативные "&amp;TEXT(B105,"0")&amp;";
нормативные "&amp;TEXT(B109,"0")&amp;";
нормативные "&amp;TEXT(B114,"0")&amp;""</f>
        <v>Нормативные затраты на приобретение основных средств включают в себя:
нормативные затраты на приобретение мебели;
нормативные затраты на приобретение систем кондиционирования;
нормативные затраты на приобретение прочих основных средств (калькулятор, вентилятор, электрочайник, микроволновая печь, холодильник, счетчик банкнот и т.п.)</v>
      </c>
    </row>
    <row r="105" spans="1:25" s="95" customFormat="1" ht="121.5" customHeight="1" x14ac:dyDescent="0.25">
      <c r="A105" s="388" t="s">
        <v>15</v>
      </c>
      <c r="B105" s="625" t="s">
        <v>102</v>
      </c>
      <c r="C105" s="64"/>
      <c r="D105" s="614">
        <v>310</v>
      </c>
      <c r="E105" s="614">
        <v>244</v>
      </c>
      <c r="F105" s="417" t="s">
        <v>53</v>
      </c>
      <c r="G105" s="418"/>
      <c r="H105" s="418"/>
      <c r="I105" s="418"/>
      <c r="J105" s="418"/>
      <c r="K105" s="418"/>
      <c r="L105" s="418"/>
      <c r="M105" s="418"/>
      <c r="N105" s="418"/>
      <c r="O105" s="418"/>
      <c r="P105" s="418"/>
      <c r="Q105" s="418"/>
      <c r="R105" s="419"/>
      <c r="S105" s="65"/>
      <c r="T105" s="420">
        <f>Q106</f>
        <v>1075400</v>
      </c>
      <c r="U105" s="420">
        <f>Q107</f>
        <v>1121700</v>
      </c>
      <c r="V105" s="420">
        <f>Q108</f>
        <v>1168800</v>
      </c>
      <c r="W105" s="64"/>
      <c r="X105" s="73" t="s">
        <v>54</v>
      </c>
    </row>
    <row r="106" spans="1:25" s="95" customFormat="1" ht="21" customHeight="1" x14ac:dyDescent="0.25">
      <c r="A106" s="389"/>
      <c r="B106" s="626"/>
      <c r="C106" s="64"/>
      <c r="D106" s="615"/>
      <c r="E106" s="615"/>
      <c r="F106" s="68" t="s">
        <v>158</v>
      </c>
      <c r="G106" s="98">
        <v>40393</v>
      </c>
      <c r="H106" s="67" t="s">
        <v>42</v>
      </c>
      <c r="I106" s="98">
        <v>213</v>
      </c>
      <c r="J106" s="67" t="s">
        <v>45</v>
      </c>
      <c r="K106" s="98">
        <v>8</v>
      </c>
      <c r="L106" s="67" t="s">
        <v>43</v>
      </c>
      <c r="M106" s="98">
        <v>0</v>
      </c>
      <c r="N106" s="67" t="s">
        <v>44</v>
      </c>
      <c r="O106" s="98">
        <f>ROUND((G106*(I106/K106+M106)),2)</f>
        <v>1075463.6299999999</v>
      </c>
      <c r="P106" s="67" t="s">
        <v>41</v>
      </c>
      <c r="Q106" s="70">
        <f>ROUNDDOWN((O106),-2)</f>
        <v>1075400</v>
      </c>
      <c r="R106" s="71" t="s">
        <v>37</v>
      </c>
      <c r="S106" s="65"/>
      <c r="T106" s="421"/>
      <c r="U106" s="421"/>
      <c r="V106" s="421"/>
      <c r="W106" s="64"/>
      <c r="X106" s="73" t="str">
        <f>"норматив "&amp;TEXT(G106,"0 000,00")&amp;" руб. х ("&amp;TEXT(I106,"000,00")&amp;" шт.ед. : срок "&amp;TEXT(K106,"0")&amp;" лет + "&amp;TEXT(M106,"0,00")&amp;" шт.ед.) = "&amp;TEXT(O106,"0 000,00")&amp;" руб. = "&amp;TEXT(Q106,"0 000,00")&amp;" руб."</f>
        <v>норматив 40 393,00 руб. х (213,00 шт.ед. : срок 8 лет + 0,00 шт.ед.) = 1 075 463,63 руб. = 1 075 400,00 руб.</v>
      </c>
      <c r="Y106" s="94"/>
    </row>
    <row r="107" spans="1:25" s="95" customFormat="1" ht="21" customHeight="1" x14ac:dyDescent="0.25">
      <c r="A107" s="389"/>
      <c r="B107" s="626"/>
      <c r="C107" s="64"/>
      <c r="D107" s="615"/>
      <c r="E107" s="615"/>
      <c r="F107" s="68" t="s">
        <v>159</v>
      </c>
      <c r="G107" s="98">
        <v>42130</v>
      </c>
      <c r="H107" s="67" t="s">
        <v>42</v>
      </c>
      <c r="I107" s="98">
        <v>213</v>
      </c>
      <c r="J107" s="67" t="s">
        <v>45</v>
      </c>
      <c r="K107" s="98">
        <v>8</v>
      </c>
      <c r="L107" s="67" t="s">
        <v>43</v>
      </c>
      <c r="M107" s="98">
        <v>0</v>
      </c>
      <c r="N107" s="67" t="s">
        <v>44</v>
      </c>
      <c r="O107" s="98">
        <f>ROUND((G107*(I107/K107+M107)),2)</f>
        <v>1121711.25</v>
      </c>
      <c r="P107" s="67" t="s">
        <v>41</v>
      </c>
      <c r="Q107" s="70">
        <f>ROUNDDOWN((O107),-2)</f>
        <v>1121700</v>
      </c>
      <c r="R107" s="71" t="s">
        <v>37</v>
      </c>
      <c r="S107" s="65"/>
      <c r="T107" s="421"/>
      <c r="U107" s="421"/>
      <c r="V107" s="421"/>
      <c r="W107" s="64"/>
      <c r="X107" s="73" t="str">
        <f t="shared" ref="X107:X108" si="25">"норматив "&amp;TEXT(G107,"0 000,00")&amp;" руб. х ("&amp;TEXT(I107,"000,00")&amp;" шт.ед. : срок "&amp;TEXT(K107,"0")&amp;" лет + "&amp;TEXT(M107,"0,00")&amp;" шт.ед.) = "&amp;TEXT(O107,"0 000,00")&amp;" руб. = "&amp;TEXT(Q107,"0 000,00")&amp;" руб."</f>
        <v>норматив 42 130,00 руб. х (213,00 шт.ед. : срок 8 лет + 0,00 шт.ед.) = 1 121 711,25 руб. = 1 121 700,00 руб.</v>
      </c>
      <c r="Y107" s="94"/>
    </row>
    <row r="108" spans="1:25" s="95" customFormat="1" ht="21" customHeight="1" x14ac:dyDescent="0.25">
      <c r="A108" s="390"/>
      <c r="B108" s="627"/>
      <c r="C108" s="64"/>
      <c r="D108" s="616"/>
      <c r="E108" s="616"/>
      <c r="F108" s="68" t="s">
        <v>194</v>
      </c>
      <c r="G108" s="98">
        <v>43899</v>
      </c>
      <c r="H108" s="67" t="s">
        <v>42</v>
      </c>
      <c r="I108" s="98">
        <v>213</v>
      </c>
      <c r="J108" s="67" t="s">
        <v>45</v>
      </c>
      <c r="K108" s="98">
        <v>8</v>
      </c>
      <c r="L108" s="67" t="s">
        <v>43</v>
      </c>
      <c r="M108" s="98">
        <v>0</v>
      </c>
      <c r="N108" s="67" t="s">
        <v>44</v>
      </c>
      <c r="O108" s="98">
        <f>ROUND((G108*(I108/K108+M108)),2)</f>
        <v>1168810.8799999999</v>
      </c>
      <c r="P108" s="67" t="s">
        <v>41</v>
      </c>
      <c r="Q108" s="70">
        <f>ROUNDDOWN((O108),-2)</f>
        <v>1168800</v>
      </c>
      <c r="R108" s="71" t="s">
        <v>37</v>
      </c>
      <c r="S108" s="61"/>
      <c r="T108" s="422"/>
      <c r="U108" s="422"/>
      <c r="V108" s="422"/>
      <c r="W108" s="64"/>
      <c r="X108" s="73" t="str">
        <f t="shared" si="25"/>
        <v>норматив 43 899,00 руб. х (213,00 шт.ед. : срок 8 лет + 0,00 шт.ед.) = 1 168 810,88 руб. = 1 168 800,00 руб.</v>
      </c>
    </row>
    <row r="109" spans="1:25" ht="75" x14ac:dyDescent="0.25">
      <c r="A109" s="388" t="s">
        <v>181</v>
      </c>
      <c r="B109" s="611" t="s">
        <v>147</v>
      </c>
      <c r="C109" s="64"/>
      <c r="D109" s="619">
        <v>310</v>
      </c>
      <c r="E109" s="619">
        <v>244</v>
      </c>
      <c r="F109" s="622"/>
      <c r="G109" s="622"/>
      <c r="H109" s="622"/>
      <c r="I109" s="622"/>
      <c r="J109" s="622"/>
      <c r="K109" s="622"/>
      <c r="L109" s="622"/>
      <c r="M109" s="622"/>
      <c r="N109" s="622"/>
      <c r="O109" s="622"/>
      <c r="P109" s="622"/>
      <c r="Q109" s="622"/>
      <c r="R109" s="622"/>
      <c r="S109" s="65"/>
      <c r="T109" s="477">
        <f>M111</f>
        <v>1416200</v>
      </c>
      <c r="U109" s="477">
        <f>M112</f>
        <v>1473900</v>
      </c>
      <c r="V109" s="477">
        <f>M113</f>
        <v>1534100</v>
      </c>
      <c r="W109" s="64"/>
      <c r="X109" s="73" t="s">
        <v>169</v>
      </c>
    </row>
    <row r="110" spans="1:25" ht="13.5" customHeight="1" outlineLevel="1" x14ac:dyDescent="0.25">
      <c r="A110" s="389"/>
      <c r="B110" s="612"/>
      <c r="C110" s="64"/>
      <c r="D110" s="619"/>
      <c r="E110" s="619"/>
      <c r="F110" s="61"/>
      <c r="G110" s="98"/>
      <c r="H110" s="67"/>
      <c r="I110" s="98"/>
      <c r="J110" s="67"/>
      <c r="K110" s="98"/>
      <c r="L110" s="67" t="s">
        <v>37</v>
      </c>
      <c r="M110" s="67"/>
      <c r="N110" s="67"/>
      <c r="O110" s="67"/>
      <c r="P110" s="67"/>
      <c r="Q110" s="67"/>
      <c r="R110" s="65"/>
      <c r="S110" s="65"/>
      <c r="T110" s="477"/>
      <c r="U110" s="477"/>
      <c r="V110" s="477"/>
      <c r="W110" s="64"/>
      <c r="X110" s="73"/>
    </row>
    <row r="111" spans="1:25" ht="24.75" customHeight="1" x14ac:dyDescent="0.25">
      <c r="A111" s="389"/>
      <c r="B111" s="623"/>
      <c r="C111" s="64"/>
      <c r="D111" s="621"/>
      <c r="E111" s="621"/>
      <c r="F111" s="68" t="s">
        <v>150</v>
      </c>
      <c r="G111" s="98">
        <v>30</v>
      </c>
      <c r="H111" s="67" t="s">
        <v>78</v>
      </c>
      <c r="I111" s="69">
        <v>47204.04</v>
      </c>
      <c r="J111" s="67" t="s">
        <v>41</v>
      </c>
      <c r="K111" s="98">
        <f>ROUND((G111*I111),2)</f>
        <v>1416121.2</v>
      </c>
      <c r="L111" s="67" t="s">
        <v>41</v>
      </c>
      <c r="M111" s="70">
        <f>ROUNDUP((K111),-2)</f>
        <v>1416200</v>
      </c>
      <c r="N111" s="71" t="s">
        <v>37</v>
      </c>
      <c r="O111" s="70">
        <f>ROUNDDOWN((M111),-2)</f>
        <v>1416200</v>
      </c>
      <c r="P111" s="67"/>
      <c r="Q111" s="67"/>
      <c r="R111" s="65"/>
      <c r="S111" s="65"/>
      <c r="T111" s="477"/>
      <c r="U111" s="477"/>
      <c r="V111" s="477"/>
      <c r="W111" s="64"/>
      <c r="X111" s="73" t="str">
        <f>""&amp;TEXT(G111,"0,0")&amp;" шт. х "&amp;TEXT(ROUND((I111),2),"000,00")&amp;" руб. = "&amp;TEXT(ROUND(($G$116*(ROUND((K111/$G$116),2))),2),"0 000,00")&amp;" руб. = "&amp;TEXT(M111,"0 000,00")&amp;" руб."</f>
        <v>30,0 шт. х 47204,04 руб. = 1 416 121,20 руб. = 1 416 200,00 руб.</v>
      </c>
    </row>
    <row r="112" spans="1:25" ht="20.25" customHeight="1" outlineLevel="1" x14ac:dyDescent="0.25">
      <c r="A112" s="389"/>
      <c r="B112" s="623"/>
      <c r="C112" s="64"/>
      <c r="D112" s="621"/>
      <c r="E112" s="621"/>
      <c r="F112" s="68" t="s">
        <v>151</v>
      </c>
      <c r="G112" s="98">
        <v>30</v>
      </c>
      <c r="H112" s="67" t="s">
        <v>78</v>
      </c>
      <c r="I112" s="69">
        <v>49129.97</v>
      </c>
      <c r="J112" s="67" t="s">
        <v>41</v>
      </c>
      <c r="K112" s="98">
        <f t="shared" ref="K112:K113" si="26">ROUND((G112*I112),2)</f>
        <v>1473899.1</v>
      </c>
      <c r="L112" s="67" t="s">
        <v>41</v>
      </c>
      <c r="M112" s="70">
        <f t="shared" ref="M112:M113" si="27">ROUNDUP((K112),-2)</f>
        <v>1473900</v>
      </c>
      <c r="N112" s="71" t="s">
        <v>37</v>
      </c>
      <c r="O112" s="70">
        <f t="shared" ref="O112:O113" si="28">ROUNDDOWN((M112),-2)</f>
        <v>1473900</v>
      </c>
      <c r="P112" s="71"/>
      <c r="Q112" s="93"/>
      <c r="R112" s="67"/>
      <c r="S112" s="65"/>
      <c r="T112" s="477"/>
      <c r="U112" s="477"/>
      <c r="V112" s="477"/>
      <c r="W112" s="64"/>
      <c r="X112" s="73" t="str">
        <f>""&amp;TEXT(G112,"0,0")&amp;" шт. х "&amp;TEXT(ROUND((I112),2),"000,00")&amp;" руб. = "&amp;TEXT(ROUND(($G$116*(ROUND((K112/$G$116),2))),2),"0 000,00")&amp;" руб. = "&amp;TEXT(M112,"0 000,00")&amp;" руб."</f>
        <v>30,0 шт. х 49129,97 руб. = 1 473 899,10 руб. = 1 473 900,00 руб.</v>
      </c>
    </row>
    <row r="113" spans="1:24" ht="21" customHeight="1" outlineLevel="1" x14ac:dyDescent="0.25">
      <c r="A113" s="390"/>
      <c r="B113" s="624"/>
      <c r="C113" s="64"/>
      <c r="D113" s="621"/>
      <c r="E113" s="621"/>
      <c r="F113" s="68" t="s">
        <v>193</v>
      </c>
      <c r="G113" s="98">
        <v>30</v>
      </c>
      <c r="H113" s="67" t="s">
        <v>78</v>
      </c>
      <c r="I113" s="69">
        <f>$I$112*1.0408</f>
        <v>51134.472775999995</v>
      </c>
      <c r="J113" s="67" t="s">
        <v>41</v>
      </c>
      <c r="K113" s="98">
        <f t="shared" si="26"/>
        <v>1534034.18</v>
      </c>
      <c r="L113" s="67" t="s">
        <v>41</v>
      </c>
      <c r="M113" s="70">
        <f t="shared" si="27"/>
        <v>1534100</v>
      </c>
      <c r="N113" s="71" t="s">
        <v>37</v>
      </c>
      <c r="O113" s="70">
        <f t="shared" si="28"/>
        <v>1534100</v>
      </c>
      <c r="P113" s="67"/>
      <c r="Q113" s="99"/>
      <c r="R113" s="71"/>
      <c r="S113" s="65"/>
      <c r="T113" s="477"/>
      <c r="U113" s="477"/>
      <c r="V113" s="477"/>
      <c r="W113" s="64"/>
      <c r="X113" s="73" t="str">
        <f>""&amp;TEXT(G113,"0,0")&amp;" шт. х "&amp;TEXT(ROUND((I113),2),"000,00")&amp;" руб. = "&amp;TEXT(ROUND(($G$116*(ROUND((K113/$G$116),2))),2),"0 000,00")&amp;" руб. = "&amp;TEXT(M113,"0 000,00")&amp;" руб."</f>
        <v>30,0 шт. х 51134,47 руб. = 1 534 034,18 руб. = 1 534 100,00 руб.</v>
      </c>
    </row>
    <row r="114" spans="1:24" ht="75" x14ac:dyDescent="0.25">
      <c r="A114" s="388" t="s">
        <v>173</v>
      </c>
      <c r="B114" s="611" t="s">
        <v>223</v>
      </c>
      <c r="C114" s="64"/>
      <c r="D114" s="619">
        <v>310</v>
      </c>
      <c r="E114" s="619">
        <v>244</v>
      </c>
      <c r="F114" s="622"/>
      <c r="G114" s="622"/>
      <c r="H114" s="622"/>
      <c r="I114" s="622"/>
      <c r="J114" s="622"/>
      <c r="K114" s="622"/>
      <c r="L114" s="622"/>
      <c r="M114" s="622"/>
      <c r="N114" s="622"/>
      <c r="O114" s="622"/>
      <c r="P114" s="622"/>
      <c r="Q114" s="622"/>
      <c r="R114" s="622"/>
      <c r="S114" s="65"/>
      <c r="T114" s="477">
        <f>M116</f>
        <v>94700</v>
      </c>
      <c r="U114" s="477">
        <f>M117</f>
        <v>98500</v>
      </c>
      <c r="V114" s="477">
        <f>M118</f>
        <v>102500</v>
      </c>
      <c r="W114" s="64"/>
      <c r="X114" s="73" t="s">
        <v>170</v>
      </c>
    </row>
    <row r="115" spans="1:24" ht="16.5" customHeight="1" outlineLevel="1" x14ac:dyDescent="0.25">
      <c r="A115" s="389"/>
      <c r="B115" s="623"/>
      <c r="C115" s="64"/>
      <c r="D115" s="621"/>
      <c r="E115" s="621"/>
      <c r="F115" s="68"/>
      <c r="G115" s="98"/>
      <c r="H115" s="67"/>
      <c r="I115" s="98"/>
      <c r="J115" s="67"/>
      <c r="K115" s="98"/>
      <c r="L115" s="67" t="s">
        <v>37</v>
      </c>
      <c r="M115" s="67"/>
      <c r="N115" s="67"/>
      <c r="O115" s="67"/>
      <c r="P115" s="67"/>
      <c r="Q115" s="67"/>
      <c r="R115" s="65"/>
      <c r="S115" s="65"/>
      <c r="T115" s="477"/>
      <c r="U115" s="477"/>
      <c r="V115" s="477"/>
      <c r="W115" s="64"/>
    </row>
    <row r="116" spans="1:24" ht="23.25" customHeight="1" x14ac:dyDescent="0.25">
      <c r="A116" s="389"/>
      <c r="B116" s="623"/>
      <c r="C116" s="64"/>
      <c r="D116" s="621"/>
      <c r="E116" s="621"/>
      <c r="F116" s="68" t="s">
        <v>150</v>
      </c>
      <c r="G116" s="98">
        <v>1</v>
      </c>
      <c r="H116" s="67" t="s">
        <v>78</v>
      </c>
      <c r="I116" s="69">
        <v>94610.26</v>
      </c>
      <c r="J116" s="67" t="s">
        <v>41</v>
      </c>
      <c r="K116" s="98">
        <f>ROUND((G116*I116),2)</f>
        <v>94610.26</v>
      </c>
      <c r="L116" s="67" t="s">
        <v>41</v>
      </c>
      <c r="M116" s="70">
        <f>ROUNDUP((K116),-2)</f>
        <v>94700</v>
      </c>
      <c r="N116" s="71" t="s">
        <v>37</v>
      </c>
      <c r="O116" s="70">
        <f>ROUNDDOWN((M116),-2)</f>
        <v>94700</v>
      </c>
      <c r="P116" s="67"/>
      <c r="Q116" s="67"/>
      <c r="R116" s="65"/>
      <c r="S116" s="65"/>
      <c r="T116" s="477"/>
      <c r="U116" s="477"/>
      <c r="V116" s="477"/>
      <c r="W116" s="64"/>
      <c r="X116" s="73" t="str">
        <f>""&amp;TEXT($G$116,"0,0")&amp;" шт. х "&amp;TEXT(ROUND((K116/$G$116),2),"000,00")&amp;" руб. = "&amp;TEXT(ROUND(($G$116*(ROUND((K116/$G$116),2))),2),"0 000,00")&amp;" руб. = "&amp;TEXT(M116,"0 000,00")&amp;" руб."</f>
        <v>1,0 шт. х 94610,26 руб. = 94 610,26 руб. = 94 700,00 руб.</v>
      </c>
    </row>
    <row r="117" spans="1:24" ht="18" customHeight="1" outlineLevel="1" x14ac:dyDescent="0.25">
      <c r="A117" s="389"/>
      <c r="B117" s="623"/>
      <c r="C117" s="64"/>
      <c r="D117" s="621"/>
      <c r="E117" s="621"/>
      <c r="F117" s="68" t="s">
        <v>151</v>
      </c>
      <c r="G117" s="98">
        <v>1</v>
      </c>
      <c r="H117" s="67" t="s">
        <v>78</v>
      </c>
      <c r="I117" s="69">
        <f>I116*1.0408</f>
        <v>98470.358607999995</v>
      </c>
      <c r="J117" s="67" t="s">
        <v>41</v>
      </c>
      <c r="K117" s="98">
        <f t="shared" ref="K117:K118" si="29">ROUND((G117*I117),2)</f>
        <v>98470.36</v>
      </c>
      <c r="L117" s="67" t="s">
        <v>41</v>
      </c>
      <c r="M117" s="70">
        <f t="shared" ref="M117:M118" si="30">ROUNDUP((K117),-2)</f>
        <v>98500</v>
      </c>
      <c r="N117" s="71" t="s">
        <v>37</v>
      </c>
      <c r="O117" s="70">
        <f t="shared" ref="O117:O118" si="31">ROUNDDOWN((M117),-2)</f>
        <v>98500</v>
      </c>
      <c r="P117" s="71"/>
      <c r="Q117" s="93"/>
      <c r="R117" s="67"/>
      <c r="S117" s="65"/>
      <c r="T117" s="477"/>
      <c r="U117" s="477"/>
      <c r="V117" s="477"/>
      <c r="W117" s="64"/>
      <c r="X117" s="73" t="str">
        <f t="shared" ref="X117:X118" si="32">""&amp;TEXT($G$116,"0,0")&amp;" шт. х "&amp;TEXT(ROUND((K117/$G$116),2),"000,00")&amp;" руб. = "&amp;TEXT(ROUND(($G$116*(ROUND((K117/$G$116),2))),2),"0 000,00")&amp;" руб. = "&amp;TEXT(M117,"0 000,00")&amp;" руб."</f>
        <v>1,0 шт. х 98470,36 руб. = 98 470,36 руб. = 98 500,00 руб.</v>
      </c>
    </row>
    <row r="118" spans="1:24" ht="19.5" customHeight="1" outlineLevel="1" x14ac:dyDescent="0.25">
      <c r="A118" s="390"/>
      <c r="B118" s="624"/>
      <c r="C118" s="64"/>
      <c r="D118" s="621"/>
      <c r="E118" s="621"/>
      <c r="F118" s="68" t="s">
        <v>193</v>
      </c>
      <c r="G118" s="98">
        <v>1</v>
      </c>
      <c r="H118" s="67" t="s">
        <v>78</v>
      </c>
      <c r="I118" s="69">
        <f>I117*1.0408</f>
        <v>102487.94923920638</v>
      </c>
      <c r="J118" s="67" t="s">
        <v>41</v>
      </c>
      <c r="K118" s="98">
        <f t="shared" si="29"/>
        <v>102487.95</v>
      </c>
      <c r="L118" s="67" t="s">
        <v>41</v>
      </c>
      <c r="M118" s="70">
        <f t="shared" si="30"/>
        <v>102500</v>
      </c>
      <c r="N118" s="71" t="s">
        <v>37</v>
      </c>
      <c r="O118" s="70">
        <f t="shared" si="31"/>
        <v>102500</v>
      </c>
      <c r="P118" s="67"/>
      <c r="Q118" s="99"/>
      <c r="R118" s="71"/>
      <c r="S118" s="65"/>
      <c r="T118" s="477"/>
      <c r="U118" s="477"/>
      <c r="V118" s="477"/>
      <c r="W118" s="64"/>
      <c r="X118" s="73" t="str">
        <f t="shared" si="32"/>
        <v>1,0 шт. х 102487,95 руб. = 102 487,95 руб. = 102 500,00 руб.</v>
      </c>
    </row>
    <row r="119" spans="1:24" ht="96" customHeight="1" x14ac:dyDescent="0.25">
      <c r="A119" s="60" t="s">
        <v>16</v>
      </c>
      <c r="B119" s="117" t="s">
        <v>97</v>
      </c>
      <c r="C119" s="52"/>
      <c r="D119" s="89" t="s">
        <v>35</v>
      </c>
      <c r="E119" s="89" t="s">
        <v>35</v>
      </c>
      <c r="F119" s="423"/>
      <c r="G119" s="424"/>
      <c r="H119" s="424"/>
      <c r="I119" s="424"/>
      <c r="J119" s="424"/>
      <c r="K119" s="424"/>
      <c r="L119" s="424"/>
      <c r="M119" s="424"/>
      <c r="N119" s="424"/>
      <c r="O119" s="424"/>
      <c r="P119" s="424"/>
      <c r="Q119" s="424"/>
      <c r="R119" s="424"/>
      <c r="S119" s="424"/>
      <c r="T119" s="113">
        <f>SUM(T120,T124,T133,T138,T128)</f>
        <v>3339000</v>
      </c>
      <c r="U119" s="113">
        <f t="shared" ref="U119:V119" si="33">SUM(U120,U124,U133,U138,U128)</f>
        <v>3479400</v>
      </c>
      <c r="V119" s="113">
        <f t="shared" si="33"/>
        <v>3629600</v>
      </c>
      <c r="W119" s="52"/>
      <c r="X119" s="73" t="str">
        <f>"Нормативные "&amp;TEXT(B119,"0")&amp;" включают в себя:
нормативные "&amp;TEXT(B120,"0")&amp;";
нормативные "&amp;TEXT(B124,"0")&amp;"; нормативные "&amp;TEXT(B133,"0")&amp;";
нормативные "&amp;TEXT(B138,"0")&amp;""</f>
        <v>Нормативные затраты на приобретение материальных запасов, не отнесенные к затратам, указанным в подпунктах "а"-"ж" пункта 6 Общих правил: включают в себя:
нормативные затраты на приобретение канцелярских принадлежностей;
нормативные затраты на приобретение хозяйственных товаров и принадлежностей; нормативные затраты на приобретение шин для автомобиля;
нормативные затраты на приобретение масок медицинских одноразовых</v>
      </c>
    </row>
    <row r="120" spans="1:24" ht="85.5" customHeight="1" x14ac:dyDescent="0.25">
      <c r="A120" s="383" t="s">
        <v>17</v>
      </c>
      <c r="B120" s="617" t="s">
        <v>98</v>
      </c>
      <c r="C120" s="64"/>
      <c r="D120" s="619">
        <v>346</v>
      </c>
      <c r="E120" s="619">
        <v>244</v>
      </c>
      <c r="F120" s="380" t="s">
        <v>55</v>
      </c>
      <c r="G120" s="380"/>
      <c r="H120" s="380"/>
      <c r="I120" s="380"/>
      <c r="J120" s="380"/>
      <c r="K120" s="380"/>
      <c r="L120" s="380"/>
      <c r="M120" s="380"/>
      <c r="N120" s="380"/>
      <c r="O120" s="380"/>
      <c r="P120" s="380"/>
      <c r="Q120" s="380"/>
      <c r="R120" s="380"/>
      <c r="S120" s="65"/>
      <c r="T120" s="477">
        <f>M121</f>
        <v>2472200</v>
      </c>
      <c r="U120" s="477">
        <f>M122</f>
        <v>2578500</v>
      </c>
      <c r="V120" s="477">
        <f>M123</f>
        <v>2686700</v>
      </c>
      <c r="W120" s="64"/>
      <c r="X120" s="73" t="s">
        <v>56</v>
      </c>
    </row>
    <row r="121" spans="1:24" ht="21.75" customHeight="1" x14ac:dyDescent="0.25">
      <c r="A121" s="383"/>
      <c r="B121" s="618"/>
      <c r="C121" s="64"/>
      <c r="D121" s="437"/>
      <c r="E121" s="437"/>
      <c r="F121" s="68" t="s">
        <v>150</v>
      </c>
      <c r="G121" s="98">
        <v>213</v>
      </c>
      <c r="H121" s="67" t="s">
        <v>48</v>
      </c>
      <c r="I121" s="98">
        <v>11607</v>
      </c>
      <c r="J121" s="67" t="s">
        <v>41</v>
      </c>
      <c r="K121" s="98">
        <f>ROUND((G121*I121),2)</f>
        <v>2472291</v>
      </c>
      <c r="L121" s="67" t="s">
        <v>41</v>
      </c>
      <c r="M121" s="70">
        <f>ROUNDDOWN((K121),-2)</f>
        <v>2472200</v>
      </c>
      <c r="N121" s="71" t="s">
        <v>37</v>
      </c>
      <c r="O121" s="70">
        <f>ROUNDDOWN((M121),-2)</f>
        <v>2472200</v>
      </c>
      <c r="P121" s="67"/>
      <c r="Q121" s="67"/>
      <c r="R121" s="65"/>
      <c r="S121" s="65"/>
      <c r="T121" s="477"/>
      <c r="U121" s="477"/>
      <c r="V121" s="477"/>
      <c r="W121" s="64"/>
      <c r="X121" s="73" t="str">
        <f>""&amp;TEXT(G121,"000,00")&amp;" шт.ед. х норматив "&amp;TEXT(I121,"0 000,00")&amp;" руб. = "&amp;TEXT(K121,"0 000,00")&amp;" руб. = "&amp;TEXT(M121,"0 000,00")&amp;" руб."</f>
        <v>213,00 шт.ед. х норматив 11 607,00 руб. = 2 472 291,00 руб. = 2 472 200,00 руб.</v>
      </c>
    </row>
    <row r="122" spans="1:24" ht="18.75" customHeight="1" x14ac:dyDescent="0.25">
      <c r="A122" s="383"/>
      <c r="B122" s="618"/>
      <c r="C122" s="64"/>
      <c r="D122" s="437"/>
      <c r="E122" s="437"/>
      <c r="F122" s="68" t="s">
        <v>151</v>
      </c>
      <c r="G122" s="98">
        <v>213</v>
      </c>
      <c r="H122" s="67" t="s">
        <v>48</v>
      </c>
      <c r="I122" s="98">
        <v>12106</v>
      </c>
      <c r="J122" s="67" t="s">
        <v>41</v>
      </c>
      <c r="K122" s="98">
        <f t="shared" ref="K122:K123" si="34">ROUND((G122*I122),2)</f>
        <v>2578578</v>
      </c>
      <c r="L122" s="67" t="s">
        <v>41</v>
      </c>
      <c r="M122" s="70">
        <f t="shared" ref="M122:M123" si="35">ROUNDDOWN((K122),-2)</f>
        <v>2578500</v>
      </c>
      <c r="N122" s="71" t="s">
        <v>37</v>
      </c>
      <c r="O122" s="70">
        <f t="shared" ref="O122:O123" si="36">ROUNDDOWN((M122),-2)</f>
        <v>2578500</v>
      </c>
      <c r="P122" s="67"/>
      <c r="Q122" s="67"/>
      <c r="R122" s="65"/>
      <c r="S122" s="65"/>
      <c r="T122" s="477"/>
      <c r="U122" s="477"/>
      <c r="V122" s="477"/>
      <c r="W122" s="64"/>
      <c r="X122" s="73" t="str">
        <f>""&amp;TEXT(G122,"000,00")&amp;" шт.ед. х норматив "&amp;TEXT(I122,"0 000,00")&amp;" руб. = "&amp;TEXT(K122,"0 000,00")&amp;" руб. = "&amp;TEXT(M122,"0 000,00")&amp;" руб."</f>
        <v>213,00 шт.ед. х норматив 12 106,00 руб. = 2 578 578,00 руб. = 2 578 500,00 руб.</v>
      </c>
    </row>
    <row r="123" spans="1:24" ht="18.75" customHeight="1" x14ac:dyDescent="0.25">
      <c r="A123" s="383"/>
      <c r="B123" s="618"/>
      <c r="C123" s="64"/>
      <c r="D123" s="437"/>
      <c r="E123" s="437"/>
      <c r="F123" s="68" t="s">
        <v>193</v>
      </c>
      <c r="G123" s="98">
        <v>213</v>
      </c>
      <c r="H123" s="67" t="s">
        <v>48</v>
      </c>
      <c r="I123" s="98">
        <v>12614</v>
      </c>
      <c r="J123" s="67" t="s">
        <v>41</v>
      </c>
      <c r="K123" s="98">
        <f t="shared" si="34"/>
        <v>2686782</v>
      </c>
      <c r="L123" s="67" t="s">
        <v>41</v>
      </c>
      <c r="M123" s="70">
        <f t="shared" si="35"/>
        <v>2686700</v>
      </c>
      <c r="N123" s="71" t="s">
        <v>37</v>
      </c>
      <c r="O123" s="70">
        <f t="shared" si="36"/>
        <v>2686700</v>
      </c>
      <c r="P123" s="67"/>
      <c r="Q123" s="67"/>
      <c r="R123" s="65"/>
      <c r="S123" s="65"/>
      <c r="T123" s="477"/>
      <c r="U123" s="477"/>
      <c r="V123" s="477"/>
      <c r="W123" s="64"/>
      <c r="X123" s="73" t="str">
        <f>""&amp;TEXT(G123,"000,00")&amp;" шт.ед. х норматив "&amp;TEXT(I123,"0 000,00")&amp;" руб. = "&amp;TEXT(K123,"0 000,00")&amp;" руб. = "&amp;TEXT(M123,"0 000,00")&amp;" руб."</f>
        <v>213,00 шт.ед. х норматив 12 614,00 руб. = 2 686 782,00 руб. = 2 686 700,00 руб.</v>
      </c>
    </row>
    <row r="124" spans="1:24" ht="117.75" customHeight="1" x14ac:dyDescent="0.25">
      <c r="A124" s="383" t="s">
        <v>18</v>
      </c>
      <c r="B124" s="617" t="s">
        <v>99</v>
      </c>
      <c r="C124" s="64"/>
      <c r="D124" s="619">
        <v>346</v>
      </c>
      <c r="E124" s="619">
        <v>244</v>
      </c>
      <c r="F124" s="622" t="s">
        <v>57</v>
      </c>
      <c r="G124" s="622"/>
      <c r="H124" s="622"/>
      <c r="I124" s="622"/>
      <c r="J124" s="622"/>
      <c r="K124" s="622"/>
      <c r="L124" s="622"/>
      <c r="M124" s="622"/>
      <c r="N124" s="622"/>
      <c r="O124" s="622"/>
      <c r="P124" s="622"/>
      <c r="Q124" s="622"/>
      <c r="R124" s="622"/>
      <c r="S124" s="65"/>
      <c r="T124" s="477">
        <f>O125</f>
        <v>200100</v>
      </c>
      <c r="U124" s="477">
        <f>O126</f>
        <v>207000</v>
      </c>
      <c r="V124" s="477">
        <f>O127</f>
        <v>220800</v>
      </c>
      <c r="W124" s="64"/>
      <c r="X124" s="73" t="s">
        <v>58</v>
      </c>
    </row>
    <row r="125" spans="1:24" ht="19.5" customHeight="1" x14ac:dyDescent="0.25">
      <c r="A125" s="383"/>
      <c r="B125" s="618"/>
      <c r="C125" s="64"/>
      <c r="D125" s="621"/>
      <c r="E125" s="621"/>
      <c r="F125" s="68" t="s">
        <v>150</v>
      </c>
      <c r="G125" s="98">
        <v>1150.5</v>
      </c>
      <c r="H125" s="67" t="s">
        <v>59</v>
      </c>
      <c r="I125" s="98">
        <v>14.5</v>
      </c>
      <c r="J125" s="67" t="s">
        <v>49</v>
      </c>
      <c r="K125" s="98">
        <v>12</v>
      </c>
      <c r="L125" s="67" t="s">
        <v>50</v>
      </c>
      <c r="M125" s="98">
        <f>ROUND((G125*I125*K125),2)</f>
        <v>200187</v>
      </c>
      <c r="N125" s="67" t="s">
        <v>41</v>
      </c>
      <c r="O125" s="70">
        <f>ROUNDDOWN((M125),-2)</f>
        <v>200100</v>
      </c>
      <c r="P125" s="71" t="s">
        <v>37</v>
      </c>
      <c r="Q125" s="67"/>
      <c r="R125" s="65"/>
      <c r="S125" s="65"/>
      <c r="T125" s="477"/>
      <c r="U125" s="477"/>
      <c r="V125" s="477"/>
      <c r="W125" s="64"/>
      <c r="X125" s="73" t="str">
        <f>""&amp;TEXT(G125,"0 000,00")&amp;" кв.м. х норматив "&amp;TEXT(I125,"0,00")&amp;" руб. х "&amp;TEXT(K125,"00,0")&amp;" мес.  = "&amp;TEXT(M125,"0 000,00")&amp;" руб. = "&amp;TEXT(O125,"0 000,00")&amp;" руб."</f>
        <v>1 150,50 кв.м. х норматив 14,50 руб. х 12,0 мес.  = 200 187,00 руб. = 200 100,00 руб.</v>
      </c>
    </row>
    <row r="126" spans="1:24" ht="19.5" customHeight="1" x14ac:dyDescent="0.25">
      <c r="A126" s="383"/>
      <c r="B126" s="618"/>
      <c r="C126" s="64"/>
      <c r="D126" s="621"/>
      <c r="E126" s="621"/>
      <c r="F126" s="68" t="s">
        <v>151</v>
      </c>
      <c r="G126" s="98">
        <f>G125</f>
        <v>1150.5</v>
      </c>
      <c r="H126" s="67" t="s">
        <v>59</v>
      </c>
      <c r="I126" s="98">
        <v>15</v>
      </c>
      <c r="J126" s="67" t="s">
        <v>49</v>
      </c>
      <c r="K126" s="98">
        <v>12</v>
      </c>
      <c r="L126" s="67" t="s">
        <v>50</v>
      </c>
      <c r="M126" s="98">
        <f t="shared" ref="M126:M127" si="37">ROUND((G126*I126*K126),2)</f>
        <v>207090</v>
      </c>
      <c r="N126" s="67" t="s">
        <v>41</v>
      </c>
      <c r="O126" s="70">
        <f t="shared" ref="O126:O127" si="38">ROUNDDOWN((M126),-2)</f>
        <v>207000</v>
      </c>
      <c r="P126" s="71" t="s">
        <v>37</v>
      </c>
      <c r="Q126" s="67"/>
      <c r="R126" s="65"/>
      <c r="S126" s="65"/>
      <c r="T126" s="477"/>
      <c r="U126" s="477"/>
      <c r="V126" s="477"/>
      <c r="W126" s="64"/>
      <c r="X126" s="73" t="str">
        <f>""&amp;TEXT(G126,"0 000,00")&amp;" кв.м. х норматив "&amp;TEXT(I126,"0,00")&amp;" руб. х "&amp;TEXT(K126,"00,0")&amp;" мес.  = "&amp;TEXT(M126,"0 000,00")&amp;" руб. = "&amp;TEXT(O126,"0 000,00")&amp;" руб."</f>
        <v>1 150,50 кв.м. х норматив 15,00 руб. х 12,0 мес.  = 207 090,00 руб. = 207 000,00 руб.</v>
      </c>
    </row>
    <row r="127" spans="1:24" ht="19.5" customHeight="1" x14ac:dyDescent="0.25">
      <c r="A127" s="383"/>
      <c r="B127" s="618"/>
      <c r="C127" s="64"/>
      <c r="D127" s="621"/>
      <c r="E127" s="621"/>
      <c r="F127" s="68" t="s">
        <v>193</v>
      </c>
      <c r="G127" s="98">
        <f>G126</f>
        <v>1150.5</v>
      </c>
      <c r="H127" s="67" t="s">
        <v>59</v>
      </c>
      <c r="I127" s="98">
        <v>16</v>
      </c>
      <c r="J127" s="67" t="s">
        <v>49</v>
      </c>
      <c r="K127" s="98">
        <v>12</v>
      </c>
      <c r="L127" s="67" t="s">
        <v>50</v>
      </c>
      <c r="M127" s="98">
        <f t="shared" si="37"/>
        <v>220896</v>
      </c>
      <c r="N127" s="67" t="s">
        <v>41</v>
      </c>
      <c r="O127" s="70">
        <f t="shared" si="38"/>
        <v>220800</v>
      </c>
      <c r="P127" s="71" t="s">
        <v>37</v>
      </c>
      <c r="Q127" s="67"/>
      <c r="R127" s="65"/>
      <c r="S127" s="65"/>
      <c r="T127" s="477"/>
      <c r="U127" s="477"/>
      <c r="V127" s="477"/>
      <c r="W127" s="64"/>
      <c r="X127" s="73" t="str">
        <f>""&amp;TEXT(G127,"0 000,00")&amp;" кв.м. х норматив "&amp;TEXT(I127,"0,00")&amp;" руб. х "&amp;TEXT(K127,"00,0")&amp;" мес.  = "&amp;TEXT(M127,"0 000,00")&amp;" руб. = "&amp;TEXT(O127,"0 000,00")&amp;" руб."</f>
        <v>1 150,50 кв.м. х норматив 16,00 руб. х 12,0 мес.  = 220 896,00 руб. = 220 800,00 руб.</v>
      </c>
    </row>
    <row r="128" spans="1:24" ht="90" x14ac:dyDescent="0.25">
      <c r="A128" s="383" t="s">
        <v>26</v>
      </c>
      <c r="B128" s="617" t="s">
        <v>100</v>
      </c>
      <c r="C128" s="64"/>
      <c r="D128" s="619">
        <v>343</v>
      </c>
      <c r="E128" s="619">
        <v>244</v>
      </c>
      <c r="F128" s="380" t="s">
        <v>182</v>
      </c>
      <c r="G128" s="380"/>
      <c r="H128" s="380"/>
      <c r="I128" s="380"/>
      <c r="J128" s="380"/>
      <c r="K128" s="380"/>
      <c r="L128" s="380"/>
      <c r="M128" s="380"/>
      <c r="N128" s="380"/>
      <c r="O128" s="380"/>
      <c r="P128" s="380"/>
      <c r="Q128" s="380"/>
      <c r="R128" s="380"/>
      <c r="S128" s="65"/>
      <c r="T128" s="477">
        <v>62800</v>
      </c>
      <c r="U128" s="477">
        <v>65400</v>
      </c>
      <c r="V128" s="477">
        <v>68000</v>
      </c>
      <c r="W128" s="64"/>
      <c r="X128" s="73" t="s">
        <v>76</v>
      </c>
    </row>
    <row r="129" spans="1:24" ht="15" customHeight="1" outlineLevel="1" x14ac:dyDescent="0.25">
      <c r="A129" s="383"/>
      <c r="B129" s="618"/>
      <c r="C129" s="64"/>
      <c r="D129" s="437"/>
      <c r="E129" s="620"/>
      <c r="F129" s="61"/>
      <c r="G129" s="98">
        <v>1000</v>
      </c>
      <c r="H129" s="67" t="s">
        <v>75</v>
      </c>
      <c r="I129" s="98"/>
      <c r="J129" s="67" t="s">
        <v>41</v>
      </c>
      <c r="K129" s="98">
        <f>ROUND((G129*I129),2)</f>
        <v>0</v>
      </c>
      <c r="L129" s="67" t="s">
        <v>37</v>
      </c>
      <c r="M129" s="67"/>
      <c r="N129" s="67"/>
      <c r="O129" s="67"/>
      <c r="P129" s="67"/>
      <c r="Q129" s="67"/>
      <c r="R129" s="65"/>
      <c r="S129" s="65"/>
      <c r="T129" s="477"/>
      <c r="U129" s="477"/>
      <c r="V129" s="477"/>
      <c r="W129" s="64"/>
      <c r="X129" s="73"/>
    </row>
    <row r="130" spans="1:24" ht="18.75" customHeight="1" x14ac:dyDescent="0.25">
      <c r="A130" s="383"/>
      <c r="B130" s="618"/>
      <c r="C130" s="64"/>
      <c r="D130" s="437"/>
      <c r="E130" s="620"/>
      <c r="F130" s="68" t="s">
        <v>150</v>
      </c>
      <c r="G130" s="98">
        <v>1000</v>
      </c>
      <c r="H130" s="65" t="s">
        <v>195</v>
      </c>
      <c r="I130" s="69">
        <v>62.76</v>
      </c>
      <c r="J130" s="67" t="s">
        <v>41</v>
      </c>
      <c r="K130" s="98">
        <f>ROUND((G130*I130),2)</f>
        <v>62760</v>
      </c>
      <c r="L130" s="67" t="s">
        <v>41</v>
      </c>
      <c r="M130" s="70">
        <f>ROUNDUP((K130),-2)</f>
        <v>62800</v>
      </c>
      <c r="N130" s="71" t="s">
        <v>37</v>
      </c>
      <c r="O130" s="70">
        <f>ROUNDUP((M130),-2)</f>
        <v>62800</v>
      </c>
      <c r="P130" s="72"/>
      <c r="Q130" s="72"/>
      <c r="R130" s="72"/>
      <c r="S130" s="65"/>
      <c r="T130" s="477"/>
      <c r="U130" s="477"/>
      <c r="V130" s="477"/>
      <c r="W130" s="64"/>
      <c r="X130" s="73" t="str">
        <f>""&amp;TEXT(G130,"0,0")&amp;" л. х "&amp;TEXT(ROUND((K130/$G$139),2),"0,00")&amp;" руб. = "&amp;TEXT(ROUND(($G$139*(ROUND((K130/$G$139),2))),2),"0 000,00")&amp;" руб. = "&amp;TEXT(M130,"0 000,00")&amp;" руб."</f>
        <v>1000,0 л. х 62,76 руб. = 62 760,00 руб. = 62 800,00 руб.</v>
      </c>
    </row>
    <row r="131" spans="1:24" ht="18.75" customHeight="1" x14ac:dyDescent="0.25">
      <c r="A131" s="383"/>
      <c r="B131" s="618"/>
      <c r="C131" s="64"/>
      <c r="D131" s="437"/>
      <c r="E131" s="620"/>
      <c r="F131" s="68" t="s">
        <v>151</v>
      </c>
      <c r="G131" s="98">
        <f>G130</f>
        <v>1000</v>
      </c>
      <c r="H131" s="67" t="str">
        <f>H130</f>
        <v xml:space="preserve">руб. х индекс потребительских цен </v>
      </c>
      <c r="I131" s="69">
        <v>65.319999999999993</v>
      </c>
      <c r="J131" s="67" t="s">
        <v>41</v>
      </c>
      <c r="K131" s="98">
        <f t="shared" ref="K131:K132" si="39">ROUND((G131*I131),2)</f>
        <v>65320</v>
      </c>
      <c r="L131" s="67" t="s">
        <v>41</v>
      </c>
      <c r="M131" s="70">
        <f t="shared" ref="M131:M132" si="40">ROUNDUP((K131),-2)</f>
        <v>65400</v>
      </c>
      <c r="N131" s="67" t="s">
        <v>41</v>
      </c>
      <c r="O131" s="70">
        <f>ROUNDUP((M131),-2)</f>
        <v>65400</v>
      </c>
      <c r="P131" s="71" t="s">
        <v>37</v>
      </c>
      <c r="Q131" s="72"/>
      <c r="R131" s="72"/>
      <c r="S131" s="65"/>
      <c r="T131" s="477"/>
      <c r="U131" s="477"/>
      <c r="V131" s="477"/>
      <c r="W131" s="64"/>
      <c r="X131" s="73" t="str">
        <f>""&amp;TEXT(G131,"0,0")&amp;" л. х "&amp;TEXT(ROUND((K131/$G$139),2),"0,00")&amp;" руб. = "&amp;TEXT(ROUND(($G$139*(ROUND((K131/$G$139),2))),2),"0 000,00")&amp;" руб. = "&amp;TEXT(M131,"0 000,00")&amp;" руб."</f>
        <v>1000,0 л. х 65,32 руб. = 65 320,00 руб. = 65 400,00 руб.</v>
      </c>
    </row>
    <row r="132" spans="1:24" ht="18.75" customHeight="1" x14ac:dyDescent="0.25">
      <c r="A132" s="383"/>
      <c r="B132" s="618"/>
      <c r="C132" s="64"/>
      <c r="D132" s="437"/>
      <c r="E132" s="620"/>
      <c r="F132" s="68" t="s">
        <v>193</v>
      </c>
      <c r="G132" s="98">
        <f>G131</f>
        <v>1000</v>
      </c>
      <c r="H132" s="67" t="str">
        <f>H130</f>
        <v xml:space="preserve">руб. х индекс потребительских цен </v>
      </c>
      <c r="I132" s="69">
        <f>I131*1.0408</f>
        <v>67.985055999999986</v>
      </c>
      <c r="J132" s="67" t="s">
        <v>41</v>
      </c>
      <c r="K132" s="98">
        <f t="shared" si="39"/>
        <v>67985.06</v>
      </c>
      <c r="L132" s="67" t="s">
        <v>41</v>
      </c>
      <c r="M132" s="70">
        <f t="shared" si="40"/>
        <v>68000</v>
      </c>
      <c r="N132" s="67" t="s">
        <v>25</v>
      </c>
      <c r="O132" s="70">
        <f>ROUNDUP((M132),-2)</f>
        <v>68000</v>
      </c>
      <c r="P132" s="67" t="s">
        <v>41</v>
      </c>
      <c r="Q132" s="70">
        <f>ROUNDUP((O132),-2)</f>
        <v>68000</v>
      </c>
      <c r="R132" s="71" t="s">
        <v>37</v>
      </c>
      <c r="S132" s="65"/>
      <c r="T132" s="478"/>
      <c r="U132" s="478"/>
      <c r="V132" s="478"/>
      <c r="W132" s="64"/>
      <c r="X132" s="73" t="str">
        <f>""&amp;TEXT(G132,"0,0")&amp;" л. х "&amp;TEXT(ROUND((K132/$G$139),2),"0,00")&amp;" руб. = "&amp;TEXT(ROUND(($G$139*(ROUND((K132/$G$139),2))),2),"0 000,00")&amp;" руб. = "&amp;TEXT(M132,"0 000,00")&amp;" руб."</f>
        <v>1000,0 л. х 67,99 руб. = 67 990,00 руб. = 68 000,00 руб.</v>
      </c>
    </row>
    <row r="133" spans="1:24" ht="90" x14ac:dyDescent="0.25">
      <c r="A133" s="383" t="s">
        <v>200</v>
      </c>
      <c r="B133" s="617" t="s">
        <v>219</v>
      </c>
      <c r="C133" s="64"/>
      <c r="D133" s="619">
        <v>346</v>
      </c>
      <c r="E133" s="619">
        <v>244</v>
      </c>
      <c r="F133" s="380" t="s">
        <v>182</v>
      </c>
      <c r="G133" s="380"/>
      <c r="H133" s="380"/>
      <c r="I133" s="380"/>
      <c r="J133" s="380"/>
      <c r="K133" s="380"/>
      <c r="L133" s="380"/>
      <c r="M133" s="380"/>
      <c r="N133" s="380"/>
      <c r="O133" s="380"/>
      <c r="P133" s="380"/>
      <c r="Q133" s="380"/>
      <c r="R133" s="380"/>
      <c r="S133" s="65"/>
      <c r="T133" s="477">
        <f>M135</f>
        <v>19800</v>
      </c>
      <c r="U133" s="477">
        <f>M136</f>
        <v>20600</v>
      </c>
      <c r="V133" s="477">
        <f>M137</f>
        <v>21400</v>
      </c>
      <c r="W133" s="64"/>
      <c r="X133" s="73" t="s">
        <v>220</v>
      </c>
    </row>
    <row r="134" spans="1:24" ht="15" customHeight="1" outlineLevel="1" x14ac:dyDescent="0.25">
      <c r="A134" s="383"/>
      <c r="B134" s="618"/>
      <c r="C134" s="64"/>
      <c r="D134" s="437"/>
      <c r="E134" s="620"/>
      <c r="F134" s="61"/>
      <c r="G134" s="98"/>
      <c r="H134" s="67" t="s">
        <v>48</v>
      </c>
      <c r="I134" s="98"/>
      <c r="J134" s="67" t="s">
        <v>41</v>
      </c>
      <c r="K134" s="98">
        <f>ROUND((G134*I134),2)</f>
        <v>0</v>
      </c>
      <c r="L134" s="67" t="s">
        <v>37</v>
      </c>
      <c r="M134" s="67"/>
      <c r="N134" s="67"/>
      <c r="O134" s="67"/>
      <c r="P134" s="67"/>
      <c r="Q134" s="67"/>
      <c r="R134" s="65"/>
      <c r="S134" s="65"/>
      <c r="T134" s="477"/>
      <c r="U134" s="477"/>
      <c r="V134" s="477"/>
      <c r="W134" s="64"/>
      <c r="X134" s="73"/>
    </row>
    <row r="135" spans="1:24" ht="17.25" customHeight="1" x14ac:dyDescent="0.25">
      <c r="A135" s="383"/>
      <c r="B135" s="618"/>
      <c r="C135" s="64"/>
      <c r="D135" s="437"/>
      <c r="E135" s="620"/>
      <c r="F135" s="68" t="s">
        <v>150</v>
      </c>
      <c r="G135" s="98">
        <v>4</v>
      </c>
      <c r="H135" s="65" t="s">
        <v>195</v>
      </c>
      <c r="I135" s="69">
        <v>19720</v>
      </c>
      <c r="J135" s="67" t="s">
        <v>41</v>
      </c>
      <c r="K135" s="98">
        <f>I135/G135</f>
        <v>4930</v>
      </c>
      <c r="L135" s="67" t="s">
        <v>41</v>
      </c>
      <c r="M135" s="70">
        <f>ROUNDUP((I135),-2)</f>
        <v>19800</v>
      </c>
      <c r="N135" s="71" t="s">
        <v>37</v>
      </c>
      <c r="O135" s="70"/>
      <c r="P135" s="72"/>
      <c r="Q135" s="72"/>
      <c r="R135" s="72"/>
      <c r="S135" s="65"/>
      <c r="T135" s="477"/>
      <c r="U135" s="477"/>
      <c r="V135" s="477"/>
      <c r="W135" s="64"/>
      <c r="X135" s="73" t="str">
        <f>""&amp;TEXT(G135,"0,0")&amp;" шт. х "&amp;TEXT(ROUND((K135),2),"0,00")&amp;" руб. = "&amp;TEXT(ROUND((I135),2),"0 000,00")&amp;" руб. = "&amp;TEXT(M135,"0 000,00")&amp;" руб."</f>
        <v>4,0 шт. х 4930,00 руб. = 19 720,00 руб. = 19 800,00 руб.</v>
      </c>
    </row>
    <row r="136" spans="1:24" ht="17.25" customHeight="1" x14ac:dyDescent="0.25">
      <c r="A136" s="383"/>
      <c r="B136" s="618"/>
      <c r="C136" s="64"/>
      <c r="D136" s="437"/>
      <c r="E136" s="620"/>
      <c r="F136" s="68" t="s">
        <v>151</v>
      </c>
      <c r="G136" s="98">
        <v>4</v>
      </c>
      <c r="H136" s="67" t="str">
        <f>H135</f>
        <v xml:space="preserve">руб. х индекс потребительских цен </v>
      </c>
      <c r="I136" s="69">
        <f>I135*1.0408</f>
        <v>20524.575999999997</v>
      </c>
      <c r="J136" s="67" t="s">
        <v>41</v>
      </c>
      <c r="K136" s="98">
        <f t="shared" ref="K136:K137" si="41">I136/G136</f>
        <v>5131.1439999999993</v>
      </c>
      <c r="L136" s="67" t="s">
        <v>41</v>
      </c>
      <c r="M136" s="70">
        <f t="shared" ref="M136:M137" si="42">ROUNDUP((I136),-2)</f>
        <v>20600</v>
      </c>
      <c r="N136" s="67" t="s">
        <v>41</v>
      </c>
      <c r="O136" s="70"/>
      <c r="P136" s="71" t="s">
        <v>37</v>
      </c>
      <c r="Q136" s="72"/>
      <c r="R136" s="72"/>
      <c r="S136" s="65"/>
      <c r="T136" s="477"/>
      <c r="U136" s="477"/>
      <c r="V136" s="477"/>
      <c r="W136" s="64"/>
      <c r="X136" s="73" t="str">
        <f t="shared" ref="X136:X137" si="43">""&amp;TEXT(G136,"0,0")&amp;" шт. х "&amp;TEXT(ROUND((K136),2),"0,00")&amp;" руб. = "&amp;TEXT(ROUND((I136),2),"0 000,00")&amp;" руб. = "&amp;TEXT(M136,"0 000,00")&amp;" руб."</f>
        <v>4,0 шт. х 5131,14 руб. = 20 524,58 руб. = 20 600,00 руб.</v>
      </c>
    </row>
    <row r="137" spans="1:24" ht="23.25" customHeight="1" x14ac:dyDescent="0.25">
      <c r="A137" s="383"/>
      <c r="B137" s="618"/>
      <c r="C137" s="64"/>
      <c r="D137" s="437"/>
      <c r="E137" s="620"/>
      <c r="F137" s="68" t="s">
        <v>193</v>
      </c>
      <c r="G137" s="98">
        <v>4</v>
      </c>
      <c r="H137" s="67" t="str">
        <f>H135</f>
        <v xml:space="preserve">руб. х индекс потребительских цен </v>
      </c>
      <c r="I137" s="69">
        <f>I136*1.0408</f>
        <v>21361.978700799995</v>
      </c>
      <c r="J137" s="67" t="s">
        <v>41</v>
      </c>
      <c r="K137" s="98">
        <f t="shared" si="41"/>
        <v>5340.4946751999987</v>
      </c>
      <c r="L137" s="67" t="s">
        <v>41</v>
      </c>
      <c r="M137" s="70">
        <f t="shared" si="42"/>
        <v>21400</v>
      </c>
      <c r="N137" s="67" t="s">
        <v>25</v>
      </c>
      <c r="O137" s="70"/>
      <c r="P137" s="67" t="s">
        <v>41</v>
      </c>
      <c r="Q137" s="70">
        <f>ROUNDUP((O137),-2)</f>
        <v>0</v>
      </c>
      <c r="R137" s="71" t="s">
        <v>37</v>
      </c>
      <c r="S137" s="65"/>
      <c r="T137" s="478"/>
      <c r="U137" s="478"/>
      <c r="V137" s="478"/>
      <c r="W137" s="64"/>
      <c r="X137" s="73" t="str">
        <f t="shared" si="43"/>
        <v>4,0 шт. х 5340,49 руб. = 21 361,98 руб. = 21 400,00 руб.</v>
      </c>
    </row>
    <row r="138" spans="1:24" ht="90" x14ac:dyDescent="0.25">
      <c r="A138" s="383" t="s">
        <v>213</v>
      </c>
      <c r="B138" s="617" t="s">
        <v>214</v>
      </c>
      <c r="C138" s="64"/>
      <c r="D138" s="619">
        <v>346</v>
      </c>
      <c r="E138" s="619">
        <v>244</v>
      </c>
      <c r="F138" s="380" t="s">
        <v>182</v>
      </c>
      <c r="G138" s="380"/>
      <c r="H138" s="380"/>
      <c r="I138" s="380"/>
      <c r="J138" s="380"/>
      <c r="K138" s="380"/>
      <c r="L138" s="380"/>
      <c r="M138" s="380"/>
      <c r="N138" s="380"/>
      <c r="O138" s="380"/>
      <c r="P138" s="380"/>
      <c r="Q138" s="380"/>
      <c r="R138" s="380"/>
      <c r="S138" s="65"/>
      <c r="T138" s="477">
        <f>M140</f>
        <v>584100</v>
      </c>
      <c r="U138" s="477">
        <f>M141</f>
        <v>607900</v>
      </c>
      <c r="V138" s="477">
        <f>M142</f>
        <v>632700</v>
      </c>
      <c r="W138" s="64"/>
      <c r="X138" s="73" t="s">
        <v>215</v>
      </c>
    </row>
    <row r="139" spans="1:24" ht="15" customHeight="1" outlineLevel="1" x14ac:dyDescent="0.25">
      <c r="A139" s="383"/>
      <c r="B139" s="618"/>
      <c r="C139" s="64"/>
      <c r="D139" s="437"/>
      <c r="E139" s="620"/>
      <c r="F139" s="61"/>
      <c r="G139" s="98">
        <v>1000</v>
      </c>
      <c r="H139" s="67" t="s">
        <v>48</v>
      </c>
      <c r="I139" s="98"/>
      <c r="J139" s="67" t="s">
        <v>41</v>
      </c>
      <c r="K139" s="98">
        <f>ROUND((G139*I139),2)</f>
        <v>0</v>
      </c>
      <c r="L139" s="67" t="s">
        <v>37</v>
      </c>
      <c r="M139" s="67"/>
      <c r="N139" s="67"/>
      <c r="O139" s="67"/>
      <c r="P139" s="67"/>
      <c r="Q139" s="67"/>
      <c r="R139" s="65"/>
      <c r="S139" s="65"/>
      <c r="T139" s="477"/>
      <c r="U139" s="477"/>
      <c r="V139" s="477"/>
      <c r="W139" s="64"/>
      <c r="X139" s="73"/>
    </row>
    <row r="140" spans="1:24" ht="24.75" customHeight="1" x14ac:dyDescent="0.25">
      <c r="A140" s="383"/>
      <c r="B140" s="618"/>
      <c r="C140" s="64"/>
      <c r="D140" s="437"/>
      <c r="E140" s="620"/>
      <c r="F140" s="68" t="s">
        <v>150</v>
      </c>
      <c r="G140" s="98">
        <v>13500</v>
      </c>
      <c r="H140" s="65" t="s">
        <v>195</v>
      </c>
      <c r="I140" s="69">
        <v>43.26</v>
      </c>
      <c r="J140" s="67" t="s">
        <v>41</v>
      </c>
      <c r="K140" s="98">
        <f>ROUND((G140*I140),2)</f>
        <v>584010</v>
      </c>
      <c r="L140" s="67" t="s">
        <v>41</v>
      </c>
      <c r="M140" s="70">
        <f>ROUNDUP((K140),-2)</f>
        <v>584100</v>
      </c>
      <c r="N140" s="71" t="s">
        <v>37</v>
      </c>
      <c r="O140" s="70">
        <f>ROUNDUP((M140),-2)</f>
        <v>584100</v>
      </c>
      <c r="P140" s="72"/>
      <c r="Q140" s="72"/>
      <c r="R140" s="72"/>
      <c r="S140" s="65"/>
      <c r="T140" s="477"/>
      <c r="U140" s="477"/>
      <c r="V140" s="477"/>
      <c r="W140" s="64"/>
      <c r="X140" s="73" t="str">
        <f>""&amp;TEXT(G140,"0,0")&amp;" шт. х "&amp;TEXT(ROUND((I140),2),"0,00")&amp;" руб. = "&amp;TEXT(ROUND((K140),2),"0 000,00")&amp;" руб. = "&amp;TEXT(M140,"0 000,00")&amp;" руб."</f>
        <v>13500,0 шт. х 43,26 руб. = 584 010,00 руб. = 584 100,00 руб.</v>
      </c>
    </row>
    <row r="141" spans="1:24" ht="24.75" customHeight="1" x14ac:dyDescent="0.25">
      <c r="A141" s="383"/>
      <c r="B141" s="618"/>
      <c r="C141" s="64"/>
      <c r="D141" s="437"/>
      <c r="E141" s="620"/>
      <c r="F141" s="68" t="s">
        <v>151</v>
      </c>
      <c r="G141" s="98">
        <f>G140</f>
        <v>13500</v>
      </c>
      <c r="H141" s="67" t="str">
        <f>H140</f>
        <v xml:space="preserve">руб. х индекс потребительских цен </v>
      </c>
      <c r="I141" s="69">
        <f>I140*1.0408</f>
        <v>45.025007999999993</v>
      </c>
      <c r="J141" s="67" t="s">
        <v>41</v>
      </c>
      <c r="K141" s="98">
        <f t="shared" ref="K141:K142" si="44">ROUND((G141*I141),2)</f>
        <v>607837.61</v>
      </c>
      <c r="L141" s="67" t="s">
        <v>41</v>
      </c>
      <c r="M141" s="70">
        <f t="shared" ref="M141:M142" si="45">ROUNDUP((K141),-2)</f>
        <v>607900</v>
      </c>
      <c r="N141" s="67" t="s">
        <v>41</v>
      </c>
      <c r="O141" s="70">
        <f>ROUNDUP((M141),-2)</f>
        <v>607900</v>
      </c>
      <c r="P141" s="71" t="s">
        <v>37</v>
      </c>
      <c r="Q141" s="72"/>
      <c r="R141" s="72"/>
      <c r="S141" s="65"/>
      <c r="T141" s="477"/>
      <c r="U141" s="477"/>
      <c r="V141" s="477"/>
      <c r="W141" s="64"/>
      <c r="X141" s="73" t="str">
        <f t="shared" ref="X141:X142" si="46">""&amp;TEXT(G141,"0,0")&amp;" шт. х "&amp;TEXT(ROUND((I141),2),"0,00")&amp;" руб. = "&amp;TEXT(ROUND((K141),2),"0 000,00")&amp;" руб. = "&amp;TEXT(M141,"0 000,00")&amp;" руб."</f>
        <v>13500,0 шт. х 45,03 руб. = 607 837,61 руб. = 607 900,00 руб.</v>
      </c>
    </row>
    <row r="142" spans="1:24" ht="24.75" customHeight="1" x14ac:dyDescent="0.25">
      <c r="A142" s="383"/>
      <c r="B142" s="618"/>
      <c r="C142" s="64"/>
      <c r="D142" s="437"/>
      <c r="E142" s="620"/>
      <c r="F142" s="68" t="s">
        <v>193</v>
      </c>
      <c r="G142" s="98">
        <f>G141</f>
        <v>13500</v>
      </c>
      <c r="H142" s="67" t="str">
        <f>H140</f>
        <v xml:space="preserve">руб. х индекс потребительских цен </v>
      </c>
      <c r="I142" s="69">
        <f>I141*1.0408</f>
        <v>46.862028326399987</v>
      </c>
      <c r="J142" s="67" t="s">
        <v>41</v>
      </c>
      <c r="K142" s="98">
        <f t="shared" si="44"/>
        <v>632637.38</v>
      </c>
      <c r="L142" s="67" t="s">
        <v>41</v>
      </c>
      <c r="M142" s="70">
        <f t="shared" si="45"/>
        <v>632700</v>
      </c>
      <c r="N142" s="67" t="s">
        <v>25</v>
      </c>
      <c r="O142" s="70">
        <f>ROUNDUP((M142),-2)</f>
        <v>632700</v>
      </c>
      <c r="P142" s="67" t="s">
        <v>41</v>
      </c>
      <c r="Q142" s="70">
        <f>ROUNDUP((O142),-2)</f>
        <v>632700</v>
      </c>
      <c r="R142" s="71" t="s">
        <v>37</v>
      </c>
      <c r="S142" s="65"/>
      <c r="T142" s="478"/>
      <c r="U142" s="478"/>
      <c r="V142" s="478"/>
      <c r="W142" s="64"/>
      <c r="X142" s="73" t="str">
        <f t="shared" si="46"/>
        <v>13500,0 шт. х 46,86 руб. = 632 637,38 руб. = 632 700,00 руб.</v>
      </c>
    </row>
    <row r="143" spans="1:24" ht="60" x14ac:dyDescent="0.25">
      <c r="A143" s="60" t="s">
        <v>19</v>
      </c>
      <c r="B143" s="117" t="s">
        <v>93</v>
      </c>
      <c r="C143" s="52"/>
      <c r="D143" s="89" t="s">
        <v>35</v>
      </c>
      <c r="E143" s="89" t="s">
        <v>35</v>
      </c>
      <c r="F143" s="423"/>
      <c r="G143" s="424"/>
      <c r="H143" s="424"/>
      <c r="I143" s="424"/>
      <c r="J143" s="424"/>
      <c r="K143" s="424"/>
      <c r="L143" s="424"/>
      <c r="M143" s="424"/>
      <c r="N143" s="424"/>
      <c r="O143" s="424"/>
      <c r="P143" s="424"/>
      <c r="Q143" s="424"/>
      <c r="R143" s="424"/>
      <c r="S143" s="424"/>
      <c r="T143" s="113">
        <f>SUM(T159,T144,T149,T154)</f>
        <v>3441100</v>
      </c>
      <c r="U143" s="113">
        <f>SUM(U159,U144,U149,U154)</f>
        <v>3581600</v>
      </c>
      <c r="V143" s="113">
        <f>SUM(V159,V144,V149,V154)</f>
        <v>3727700</v>
      </c>
      <c r="W143" s="52"/>
      <c r="X143" s="73" t="str">
        <f>"Нормативные "&amp;TEXT(B143,"0")&amp;" включают в себя:
нормативные "&amp;TEXT(B144,"0")&amp;";
нормативные "&amp;TEXT(B149,"0")&amp;";
нормативные "&amp;TEXT(B154,"0")&amp;"; нормативные "&amp;TEXT(B159,"0")&amp;""</f>
        <v>Нормативные иные прочие затраты, не отнесенные к иным затратам, указанным в подпунктах "а"-"ж" пункта 6 Общих правил включают в себя:
нормативные затраты на оказание услуг по сопровождению и охране денежных средств при их транспортировке;
нормативные затраты на оказание услуг по обучению персрнала;
нормативные затраты на оказание нотариальных услуг; нормативные затраты на оказание архивных услуг по переплету документов</v>
      </c>
    </row>
    <row r="144" spans="1:24" ht="102" customHeight="1" x14ac:dyDescent="0.25">
      <c r="A144" s="383" t="s">
        <v>20</v>
      </c>
      <c r="B144" s="617" t="s">
        <v>189</v>
      </c>
      <c r="C144" s="64"/>
      <c r="D144" s="619">
        <v>226</v>
      </c>
      <c r="E144" s="619">
        <v>244</v>
      </c>
      <c r="F144" s="380" t="s">
        <v>182</v>
      </c>
      <c r="G144" s="380"/>
      <c r="H144" s="380"/>
      <c r="I144" s="380"/>
      <c r="J144" s="380"/>
      <c r="K144" s="380"/>
      <c r="L144" s="380"/>
      <c r="M144" s="380"/>
      <c r="N144" s="380"/>
      <c r="O144" s="380"/>
      <c r="P144" s="380"/>
      <c r="Q144" s="380"/>
      <c r="R144" s="380"/>
      <c r="S144" s="65"/>
      <c r="T144" s="477">
        <f>M146</f>
        <v>423800</v>
      </c>
      <c r="U144" s="477">
        <f>M147</f>
        <v>441100</v>
      </c>
      <c r="V144" s="477">
        <f>M148</f>
        <v>459100</v>
      </c>
      <c r="W144" s="64"/>
      <c r="X144" s="73" t="s">
        <v>210</v>
      </c>
    </row>
    <row r="145" spans="1:24" ht="18" customHeight="1" outlineLevel="1" x14ac:dyDescent="0.25">
      <c r="A145" s="437"/>
      <c r="B145" s="618"/>
      <c r="C145" s="64"/>
      <c r="D145" s="437"/>
      <c r="E145" s="620"/>
      <c r="F145" s="61"/>
      <c r="G145" s="98">
        <v>93</v>
      </c>
      <c r="H145" s="67" t="s">
        <v>60</v>
      </c>
      <c r="I145" s="98"/>
      <c r="J145" s="67" t="s">
        <v>41</v>
      </c>
      <c r="K145" s="98">
        <f>ROUND((G145*I145),2)</f>
        <v>0</v>
      </c>
      <c r="L145" s="67" t="s">
        <v>37</v>
      </c>
      <c r="M145" s="67"/>
      <c r="N145" s="67"/>
      <c r="O145" s="67"/>
      <c r="P145" s="67"/>
      <c r="Q145" s="67"/>
      <c r="R145" s="65"/>
      <c r="S145" s="65"/>
      <c r="T145" s="477"/>
      <c r="U145" s="477"/>
      <c r="V145" s="477"/>
      <c r="W145" s="64"/>
      <c r="X145" s="73"/>
    </row>
    <row r="146" spans="1:24" ht="19.5" customHeight="1" x14ac:dyDescent="0.25">
      <c r="A146" s="437"/>
      <c r="B146" s="618"/>
      <c r="C146" s="64"/>
      <c r="D146" s="437"/>
      <c r="E146" s="620"/>
      <c r="F146" s="68" t="s">
        <v>150</v>
      </c>
      <c r="G146" s="98">
        <v>93</v>
      </c>
      <c r="H146" s="67" t="s">
        <v>195</v>
      </c>
      <c r="I146" s="69">
        <v>4556.67</v>
      </c>
      <c r="J146" s="67" t="s">
        <v>25</v>
      </c>
      <c r="K146" s="98">
        <f>ROUND((G146*I146),2)</f>
        <v>423770.31</v>
      </c>
      <c r="L146" s="67" t="s">
        <v>41</v>
      </c>
      <c r="M146" s="70">
        <f>ROUNDUP((K146),-2)</f>
        <v>423800</v>
      </c>
      <c r="N146" s="71" t="s">
        <v>37</v>
      </c>
      <c r="O146" s="70">
        <f>ROUNDUP((M146),-2)</f>
        <v>423800</v>
      </c>
      <c r="P146" s="72"/>
      <c r="Q146" s="72"/>
      <c r="R146" s="72"/>
      <c r="S146" s="65"/>
      <c r="T146" s="477"/>
      <c r="U146" s="477"/>
      <c r="V146" s="477"/>
      <c r="W146" s="64"/>
      <c r="X146" s="73" t="str">
        <f>""&amp;TEXT($G$145,"0,0")&amp;" заезда х "&amp;TEXT(ROUND((I146),2),"0 000,00")&amp;" руб. = "&amp;TEXT(ROUND(($G$145*(ROUND((K146/$G$145),2))),2),"0 000,00")&amp;" руб. = "&amp;TEXT(M146,"0 000,00")&amp;" руб."</f>
        <v>93,0 заезда х 4 556,67 руб. = 423 770,31 руб. = 423 800,00 руб.</v>
      </c>
    </row>
    <row r="147" spans="1:24" ht="19.5" customHeight="1" x14ac:dyDescent="0.25">
      <c r="A147" s="437"/>
      <c r="B147" s="618"/>
      <c r="C147" s="64"/>
      <c r="D147" s="437"/>
      <c r="E147" s="620"/>
      <c r="F147" s="68" t="s">
        <v>151</v>
      </c>
      <c r="G147" s="98">
        <f>G146</f>
        <v>93</v>
      </c>
      <c r="H147" s="67" t="s">
        <v>195</v>
      </c>
      <c r="I147" s="69">
        <f>I146*1.0408</f>
        <v>4742.582136</v>
      </c>
      <c r="J147" s="67" t="s">
        <v>25</v>
      </c>
      <c r="K147" s="98">
        <f t="shared" ref="K147:K148" si="47">ROUND((G147*I147),2)</f>
        <v>441060.14</v>
      </c>
      <c r="L147" s="67" t="s">
        <v>41</v>
      </c>
      <c r="M147" s="70">
        <f t="shared" ref="M147:M148" si="48">ROUNDUP((K147),-2)</f>
        <v>441100</v>
      </c>
      <c r="N147" s="67" t="s">
        <v>41</v>
      </c>
      <c r="O147" s="70">
        <f>ROUNDUP((M147),-2)</f>
        <v>441100</v>
      </c>
      <c r="P147" s="71" t="s">
        <v>37</v>
      </c>
      <c r="Q147" s="72"/>
      <c r="R147" s="72"/>
      <c r="S147" s="65"/>
      <c r="T147" s="477"/>
      <c r="U147" s="477"/>
      <c r="V147" s="477"/>
      <c r="W147" s="64"/>
      <c r="X147" s="73" t="str">
        <f t="shared" ref="X147:X148" si="49">""&amp;TEXT($G$145,"0,0")&amp;" заезда х "&amp;TEXT(ROUND((I147),2),"0 000,00")&amp;" руб. = "&amp;TEXT(ROUND(($G$145*(ROUND((K147/$G$145),2))),2),"0 000,00")&amp;" руб. = "&amp;TEXT(M147,"0 000,00")&amp;" руб."</f>
        <v>93,0 заезда х 4 742,58 руб. = 441 059,94 руб. = 441 100,00 руб.</v>
      </c>
    </row>
    <row r="148" spans="1:24" ht="19.5" customHeight="1" x14ac:dyDescent="0.25">
      <c r="A148" s="437"/>
      <c r="B148" s="618"/>
      <c r="C148" s="64"/>
      <c r="D148" s="437"/>
      <c r="E148" s="620"/>
      <c r="F148" s="68" t="s">
        <v>193</v>
      </c>
      <c r="G148" s="98">
        <f>G147</f>
        <v>93</v>
      </c>
      <c r="H148" s="67" t="s">
        <v>195</v>
      </c>
      <c r="I148" s="69">
        <f>I147*1.0408</f>
        <v>4936.0794871487997</v>
      </c>
      <c r="J148" s="67" t="s">
        <v>25</v>
      </c>
      <c r="K148" s="98">
        <f t="shared" si="47"/>
        <v>459055.39</v>
      </c>
      <c r="L148" s="67" t="s">
        <v>41</v>
      </c>
      <c r="M148" s="70">
        <f t="shared" si="48"/>
        <v>459100</v>
      </c>
      <c r="N148" s="67" t="s">
        <v>25</v>
      </c>
      <c r="O148" s="70">
        <f>ROUNDUP((M148),-2)</f>
        <v>459100</v>
      </c>
      <c r="P148" s="67" t="s">
        <v>41</v>
      </c>
      <c r="Q148" s="70">
        <f>ROUNDUP((O148),-2)</f>
        <v>459100</v>
      </c>
      <c r="R148" s="71" t="s">
        <v>37</v>
      </c>
      <c r="S148" s="65"/>
      <c r="T148" s="478"/>
      <c r="U148" s="478"/>
      <c r="V148" s="478"/>
      <c r="W148" s="64"/>
      <c r="X148" s="73" t="str">
        <f t="shared" si="49"/>
        <v>93,0 заезда х 4 936,08 руб. = 459 055,44 руб. = 459 100,00 руб.</v>
      </c>
    </row>
    <row r="149" spans="1:24" ht="121.5" customHeight="1" x14ac:dyDescent="0.25">
      <c r="A149" s="383" t="s">
        <v>21</v>
      </c>
      <c r="B149" s="617" t="s">
        <v>211</v>
      </c>
      <c r="C149" s="64"/>
      <c r="D149" s="619">
        <v>226</v>
      </c>
      <c r="E149" s="619">
        <v>244</v>
      </c>
      <c r="F149" s="380"/>
      <c r="G149" s="380"/>
      <c r="H149" s="380"/>
      <c r="I149" s="380"/>
      <c r="J149" s="380"/>
      <c r="K149" s="380"/>
      <c r="L149" s="380"/>
      <c r="M149" s="380"/>
      <c r="N149" s="380"/>
      <c r="O149" s="380"/>
      <c r="P149" s="380"/>
      <c r="Q149" s="380"/>
      <c r="R149" s="380"/>
      <c r="S149" s="65"/>
      <c r="T149" s="477">
        <v>1105000</v>
      </c>
      <c r="U149" s="477">
        <v>1150100</v>
      </c>
      <c r="V149" s="477">
        <v>1197000</v>
      </c>
      <c r="W149" s="64"/>
      <c r="X149" s="73" t="s">
        <v>79</v>
      </c>
    </row>
    <row r="150" spans="1:24" ht="16.5" customHeight="1" outlineLevel="1" x14ac:dyDescent="0.25">
      <c r="A150" s="383"/>
      <c r="B150" s="618"/>
      <c r="C150" s="64"/>
      <c r="D150" s="437"/>
      <c r="E150" s="437"/>
      <c r="F150" s="61"/>
      <c r="G150" s="98">
        <v>30</v>
      </c>
      <c r="H150" s="67" t="s">
        <v>66</v>
      </c>
      <c r="I150" s="98">
        <v>1</v>
      </c>
      <c r="J150" s="67"/>
      <c r="K150" s="98"/>
      <c r="L150" s="67" t="s">
        <v>41</v>
      </c>
      <c r="M150" s="98">
        <f>ROUND((G150*I150*K150),2)</f>
        <v>0</v>
      </c>
      <c r="N150" s="67" t="s">
        <v>37</v>
      </c>
      <c r="O150" s="98"/>
      <c r="P150" s="67"/>
      <c r="Q150" s="61"/>
      <c r="R150" s="65"/>
      <c r="S150" s="65"/>
      <c r="T150" s="477"/>
      <c r="U150" s="477"/>
      <c r="V150" s="477"/>
      <c r="W150" s="64"/>
    </row>
    <row r="151" spans="1:24" ht="18.75" customHeight="1" x14ac:dyDescent="0.25">
      <c r="A151" s="383"/>
      <c r="B151" s="618"/>
      <c r="C151" s="64"/>
      <c r="D151" s="437"/>
      <c r="E151" s="437"/>
      <c r="F151" s="68" t="s">
        <v>150</v>
      </c>
      <c r="G151" s="98">
        <f>G150</f>
        <v>30</v>
      </c>
      <c r="H151" s="67" t="s">
        <v>195</v>
      </c>
      <c r="I151" s="69">
        <v>1</v>
      </c>
      <c r="J151" s="67" t="s">
        <v>25</v>
      </c>
      <c r="K151" s="98">
        <v>36832.92</v>
      </c>
      <c r="L151" s="67" t="s">
        <v>41</v>
      </c>
      <c r="M151" s="70">
        <f>K151*I151*G151</f>
        <v>1104987.5999999999</v>
      </c>
      <c r="N151" s="71" t="s">
        <v>37</v>
      </c>
      <c r="O151" s="70">
        <f>ROUNDUP((M151),-2)</f>
        <v>1105000</v>
      </c>
      <c r="P151" s="72"/>
      <c r="Q151" s="72"/>
      <c r="R151" s="72"/>
      <c r="S151" s="65"/>
      <c r="T151" s="478"/>
      <c r="U151" s="478"/>
      <c r="V151" s="478"/>
      <c r="W151" s="64"/>
      <c r="X151" s="73" t="str">
        <f>""&amp;TEXT($G$150,"0,0")&amp;" чел. х "&amp;TEXT($I$150,"0,0")&amp;" раз х "&amp;TEXT(ROUND((M151/$G$150/$I$150),2),"0 000,00")&amp;" руб. = "&amp;TEXT(ROUND((($G$150*$I$150*ROUND((M151/$G$150/$I$150),2))),2),"0 000,00")&amp;" руб. = "&amp;TEXT(O151,"0 000,00")&amp;" руб."</f>
        <v>30,0 чел. х 1,0 раз х 36 832,92 руб. = 1 104 987,60 руб. = 1 105 000,00 руб.</v>
      </c>
    </row>
    <row r="152" spans="1:24" ht="18.75" customHeight="1" x14ac:dyDescent="0.25">
      <c r="A152" s="383"/>
      <c r="B152" s="618"/>
      <c r="C152" s="64"/>
      <c r="D152" s="437"/>
      <c r="E152" s="437"/>
      <c r="F152" s="68" t="s">
        <v>151</v>
      </c>
      <c r="G152" s="98">
        <f>G151</f>
        <v>30</v>
      </c>
      <c r="H152" s="67" t="str">
        <f>H151</f>
        <v xml:space="preserve">руб. х индекс потребительских цен </v>
      </c>
      <c r="I152" s="69">
        <v>1</v>
      </c>
      <c r="J152" s="67" t="s">
        <v>25</v>
      </c>
      <c r="K152" s="69">
        <v>38335.71</v>
      </c>
      <c r="L152" s="67" t="s">
        <v>41</v>
      </c>
      <c r="M152" s="70">
        <f t="shared" ref="M152:M153" si="50">K152*I152*G152</f>
        <v>1150071.3</v>
      </c>
      <c r="N152" s="67" t="s">
        <v>41</v>
      </c>
      <c r="O152" s="70">
        <f>ROUNDUP((M152),-2)</f>
        <v>1150100</v>
      </c>
      <c r="P152" s="71" t="s">
        <v>37</v>
      </c>
      <c r="Q152" s="72"/>
      <c r="R152" s="72"/>
      <c r="S152" s="65"/>
      <c r="T152" s="478"/>
      <c r="U152" s="478"/>
      <c r="V152" s="478"/>
      <c r="W152" s="64"/>
      <c r="X152" s="73" t="str">
        <f>""&amp;TEXT($G$150,"0,0")&amp;" чел. х "&amp;TEXT($I$150,"0,0")&amp;" раз х "&amp;TEXT(ROUND((M152/$G$150/$I$150),2),"0 000,00")&amp;" руб. = "&amp;TEXT(ROUND((($G$150*$I$150*ROUND((M152/$G$150/$I$150),2))),2),"0 000,00")&amp;" руб. = "&amp;TEXT(O152,"0 000,00")&amp;" руб."</f>
        <v>30,0 чел. х 1,0 раз х 38 335,71 руб. = 1 150 071,30 руб. = 1 150 100,00 руб.</v>
      </c>
    </row>
    <row r="153" spans="1:24" ht="18.75" customHeight="1" x14ac:dyDescent="0.25">
      <c r="A153" s="383"/>
      <c r="B153" s="618"/>
      <c r="C153" s="64"/>
      <c r="D153" s="437"/>
      <c r="E153" s="437"/>
      <c r="F153" s="68" t="s">
        <v>193</v>
      </c>
      <c r="G153" s="98">
        <f>G152</f>
        <v>30</v>
      </c>
      <c r="H153" s="67" t="str">
        <f>H151</f>
        <v xml:space="preserve">руб. х индекс потребительских цен </v>
      </c>
      <c r="I153" s="69">
        <v>1</v>
      </c>
      <c r="J153" s="67" t="s">
        <v>25</v>
      </c>
      <c r="K153" s="69">
        <f>K152*1.0408</f>
        <v>39899.806967999997</v>
      </c>
      <c r="L153" s="67" t="s">
        <v>41</v>
      </c>
      <c r="M153" s="70">
        <f t="shared" si="50"/>
        <v>1196994.2090399999</v>
      </c>
      <c r="N153" s="67" t="s">
        <v>25</v>
      </c>
      <c r="O153" s="70">
        <f>ROUNDUP((M153),-2)</f>
        <v>1197000</v>
      </c>
      <c r="P153" s="67" t="s">
        <v>41</v>
      </c>
      <c r="Q153" s="70">
        <f>ROUNDUP((O153),-2)</f>
        <v>1197000</v>
      </c>
      <c r="R153" s="71" t="s">
        <v>37</v>
      </c>
      <c r="S153" s="65"/>
      <c r="T153" s="478"/>
      <c r="U153" s="478"/>
      <c r="V153" s="478"/>
      <c r="W153" s="64"/>
      <c r="X153" s="73" t="str">
        <f>""&amp;TEXT($G$150,"0,0")&amp;" чел. х "&amp;TEXT($I$150,"0,0")&amp;" раз х "&amp;TEXT(ROUND((M153/$G$150/$I$150),2),"0 000,00")&amp;" руб. = "&amp;TEXT(ROUND((($G$150*$I$150*ROUND((M153/$G$150/$I$150),2))),2),"0 000,00")&amp;" руб. = "&amp;TEXT(O153,"0 000,00")&amp;" руб."</f>
        <v>30,0 чел. х 1,0 раз х 39 899,81 руб. = 1 196 994,30 руб. = 1 197 000,00 руб.</v>
      </c>
    </row>
    <row r="154" spans="1:24" ht="90" x14ac:dyDescent="0.25">
      <c r="A154" s="383" t="s">
        <v>22</v>
      </c>
      <c r="B154" s="617" t="s">
        <v>96</v>
      </c>
      <c r="C154" s="64"/>
      <c r="D154" s="619">
        <v>226</v>
      </c>
      <c r="E154" s="619">
        <v>244</v>
      </c>
      <c r="F154" s="380"/>
      <c r="G154" s="380"/>
      <c r="H154" s="380"/>
      <c r="I154" s="380"/>
      <c r="J154" s="380"/>
      <c r="K154" s="380"/>
      <c r="L154" s="380"/>
      <c r="M154" s="380"/>
      <c r="N154" s="380"/>
      <c r="O154" s="380"/>
      <c r="P154" s="380"/>
      <c r="Q154" s="380"/>
      <c r="R154" s="380"/>
      <c r="S154" s="65"/>
      <c r="T154" s="477">
        <v>4200</v>
      </c>
      <c r="U154" s="477">
        <v>4400</v>
      </c>
      <c r="V154" s="477">
        <v>4600</v>
      </c>
      <c r="W154" s="64"/>
      <c r="X154" s="73" t="s">
        <v>174</v>
      </c>
    </row>
    <row r="155" spans="1:24" ht="17.25" customHeight="1" outlineLevel="1" x14ac:dyDescent="0.25">
      <c r="A155" s="383"/>
      <c r="B155" s="618"/>
      <c r="C155" s="64"/>
      <c r="D155" s="437"/>
      <c r="E155" s="437"/>
      <c r="F155" s="61"/>
      <c r="G155" s="98">
        <v>2</v>
      </c>
      <c r="H155" s="67" t="s">
        <v>80</v>
      </c>
      <c r="I155" s="98"/>
      <c r="J155" s="67" t="s">
        <v>41</v>
      </c>
      <c r="K155" s="98"/>
      <c r="L155" s="67" t="s">
        <v>37</v>
      </c>
      <c r="M155" s="67"/>
      <c r="N155" s="67"/>
      <c r="O155" s="67"/>
      <c r="P155" s="67"/>
      <c r="Q155" s="67"/>
      <c r="R155" s="65"/>
      <c r="S155" s="65"/>
      <c r="T155" s="477"/>
      <c r="U155" s="477"/>
      <c r="V155" s="477"/>
      <c r="W155" s="64"/>
      <c r="X155" s="73"/>
    </row>
    <row r="156" spans="1:24" ht="19.5" customHeight="1" x14ac:dyDescent="0.25">
      <c r="A156" s="383"/>
      <c r="B156" s="618"/>
      <c r="C156" s="64"/>
      <c r="D156" s="437"/>
      <c r="E156" s="437"/>
      <c r="F156" s="68" t="s">
        <v>150</v>
      </c>
      <c r="G156" s="98">
        <v>2</v>
      </c>
      <c r="H156" s="67" t="s">
        <v>80</v>
      </c>
      <c r="I156" s="69">
        <v>2077.8000000000002</v>
      </c>
      <c r="J156" s="67" t="s">
        <v>25</v>
      </c>
      <c r="K156" s="98">
        <v>1</v>
      </c>
      <c r="L156" s="67" t="s">
        <v>41</v>
      </c>
      <c r="M156" s="98">
        <f>ROUND((G156*I156*K156),2)</f>
        <v>4155.6000000000004</v>
      </c>
      <c r="N156" s="71" t="s">
        <v>37</v>
      </c>
      <c r="O156" s="70">
        <f>ROUNDUP((M156),-2)</f>
        <v>4200</v>
      </c>
      <c r="P156" s="71" t="s">
        <v>37</v>
      </c>
      <c r="Q156" s="70">
        <f t="shared" ref="Q156:Q157" si="51">ROUNDUP((O156),-2)</f>
        <v>4200</v>
      </c>
      <c r="R156" s="72"/>
      <c r="S156" s="65"/>
      <c r="T156" s="478"/>
      <c r="U156" s="478"/>
      <c r="V156" s="478"/>
      <c r="W156" s="64"/>
      <c r="X156" s="73" t="str">
        <f>""&amp;TEXT($G$155,"0,0")&amp;" ед. х "&amp;TEXT(ROUND((I156),2),"0 000,00")&amp;" руб. = "&amp;TEXT(ROUND(((ROUND((M156),2))),2),"0 000,00")&amp;" руб. = "&amp;TEXT(O156,"0 000,00")&amp;" руб."</f>
        <v>2,0 ед. х 2 077,80 руб. = 4 155,60 руб. = 4 200,00 руб.</v>
      </c>
    </row>
    <row r="157" spans="1:24" ht="19.5" customHeight="1" x14ac:dyDescent="0.25">
      <c r="A157" s="383"/>
      <c r="B157" s="618"/>
      <c r="C157" s="64"/>
      <c r="D157" s="437"/>
      <c r="E157" s="437"/>
      <c r="F157" s="68" t="s">
        <v>151</v>
      </c>
      <c r="G157" s="98">
        <v>2</v>
      </c>
      <c r="H157" s="67" t="s">
        <v>80</v>
      </c>
      <c r="I157" s="69">
        <v>2162.58</v>
      </c>
      <c r="J157" s="67" t="s">
        <v>25</v>
      </c>
      <c r="K157" s="69">
        <v>1</v>
      </c>
      <c r="L157" s="67" t="s">
        <v>41</v>
      </c>
      <c r="M157" s="98">
        <f t="shared" ref="M157:M158" si="52">ROUND((G157*I157*K157),2)</f>
        <v>4325.16</v>
      </c>
      <c r="N157" s="71" t="s">
        <v>37</v>
      </c>
      <c r="O157" s="70">
        <f t="shared" ref="O157:O158" si="53">ROUNDUP((M157),-2)</f>
        <v>4400</v>
      </c>
      <c r="P157" s="71" t="s">
        <v>37</v>
      </c>
      <c r="Q157" s="70">
        <f t="shared" si="51"/>
        <v>4400</v>
      </c>
      <c r="R157" s="72"/>
      <c r="S157" s="65"/>
      <c r="T157" s="478"/>
      <c r="U157" s="478"/>
      <c r="V157" s="478"/>
      <c r="W157" s="64"/>
      <c r="X157" s="73" t="str">
        <f t="shared" ref="X157:X158" si="54">""&amp;TEXT($G$155,"0,0")&amp;" ед. х "&amp;TEXT(ROUND((I157),2),"0 000,00")&amp;" руб. = "&amp;TEXT(ROUND(((ROUND((M157),2))),2),"0 000,00")&amp;" руб. = "&amp;TEXT(O157,"0 000,00")&amp;" руб."</f>
        <v>2,0 ед. х 2 162,58 руб. = 4 325,16 руб. = 4 400,00 руб.</v>
      </c>
    </row>
    <row r="158" spans="1:24" ht="19.5" customHeight="1" x14ac:dyDescent="0.25">
      <c r="A158" s="383"/>
      <c r="B158" s="618"/>
      <c r="C158" s="64"/>
      <c r="D158" s="437"/>
      <c r="E158" s="437"/>
      <c r="F158" s="68" t="s">
        <v>193</v>
      </c>
      <c r="G158" s="98">
        <v>2</v>
      </c>
      <c r="H158" s="67" t="s">
        <v>80</v>
      </c>
      <c r="I158" s="69">
        <f>I157*1.0408</f>
        <v>2250.8132639999999</v>
      </c>
      <c r="J158" s="67" t="s">
        <v>25</v>
      </c>
      <c r="K158" s="69">
        <v>1</v>
      </c>
      <c r="L158" s="67" t="s">
        <v>41</v>
      </c>
      <c r="M158" s="98">
        <f t="shared" si="52"/>
        <v>4501.63</v>
      </c>
      <c r="N158" s="71" t="s">
        <v>37</v>
      </c>
      <c r="O158" s="70">
        <f t="shared" si="53"/>
        <v>4600</v>
      </c>
      <c r="P158" s="71" t="s">
        <v>37</v>
      </c>
      <c r="Q158" s="70">
        <f>ROUNDUP((O158),-2)</f>
        <v>4600</v>
      </c>
      <c r="R158" s="71" t="s">
        <v>37</v>
      </c>
      <c r="S158" s="65"/>
      <c r="T158" s="478"/>
      <c r="U158" s="478"/>
      <c r="V158" s="478"/>
      <c r="W158" s="64"/>
      <c r="X158" s="73" t="str">
        <f t="shared" si="54"/>
        <v>2,0 ед. х 2 250,81 руб. = 4 501,63 руб. = 4 600,00 руб.</v>
      </c>
    </row>
    <row r="159" spans="1:24" ht="90" x14ac:dyDescent="0.25">
      <c r="A159" s="388" t="s">
        <v>190</v>
      </c>
      <c r="B159" s="611" t="s">
        <v>191</v>
      </c>
      <c r="C159" s="64"/>
      <c r="D159" s="614">
        <v>226</v>
      </c>
      <c r="E159" s="614">
        <v>244</v>
      </c>
      <c r="F159" s="380"/>
      <c r="G159" s="380"/>
      <c r="H159" s="380"/>
      <c r="I159" s="380"/>
      <c r="J159" s="380"/>
      <c r="K159" s="380"/>
      <c r="L159" s="380"/>
      <c r="M159" s="380"/>
      <c r="N159" s="380"/>
      <c r="O159" s="380"/>
      <c r="P159" s="380"/>
      <c r="Q159" s="380"/>
      <c r="R159" s="380"/>
      <c r="S159" s="65"/>
      <c r="T159" s="420">
        <f>O161</f>
        <v>1908100</v>
      </c>
      <c r="U159" s="420">
        <f>O162</f>
        <v>1986000</v>
      </c>
      <c r="V159" s="420">
        <f>O163</f>
        <v>2067000</v>
      </c>
      <c r="W159" s="64"/>
      <c r="X159" s="73" t="s">
        <v>192</v>
      </c>
    </row>
    <row r="160" spans="1:24" ht="15" x14ac:dyDescent="0.25">
      <c r="A160" s="389"/>
      <c r="B160" s="612"/>
      <c r="C160" s="64"/>
      <c r="D160" s="615"/>
      <c r="E160" s="615"/>
      <c r="F160" s="61"/>
      <c r="G160" s="98">
        <v>1800</v>
      </c>
      <c r="H160" s="67" t="s">
        <v>195</v>
      </c>
      <c r="I160" s="69"/>
      <c r="J160" s="65" t="s">
        <v>25</v>
      </c>
      <c r="K160" s="69"/>
      <c r="L160" s="67" t="s">
        <v>37</v>
      </c>
      <c r="M160" s="98"/>
      <c r="N160" s="67"/>
      <c r="O160" s="70"/>
      <c r="P160" s="71"/>
      <c r="Q160" s="72"/>
      <c r="R160" s="72"/>
      <c r="S160" s="65"/>
      <c r="T160" s="421"/>
      <c r="U160" s="421"/>
      <c r="V160" s="421"/>
      <c r="W160" s="64"/>
      <c r="X160" s="73"/>
    </row>
    <row r="161" spans="1:24" ht="23.25" customHeight="1" x14ac:dyDescent="0.25">
      <c r="A161" s="389"/>
      <c r="B161" s="612"/>
      <c r="C161" s="64"/>
      <c r="D161" s="615"/>
      <c r="E161" s="615"/>
      <c r="F161" s="68" t="s">
        <v>150</v>
      </c>
      <c r="G161" s="98">
        <v>1800</v>
      </c>
      <c r="H161" s="67" t="s">
        <v>195</v>
      </c>
      <c r="I161" s="69">
        <v>1060.05</v>
      </c>
      <c r="J161" s="65" t="s">
        <v>25</v>
      </c>
      <c r="K161" s="69">
        <v>1</v>
      </c>
      <c r="L161" s="67" t="s">
        <v>37</v>
      </c>
      <c r="M161" s="98">
        <f>ROUND((G161*I161*K161),2)</f>
        <v>1908090</v>
      </c>
      <c r="N161" s="71" t="s">
        <v>37</v>
      </c>
      <c r="O161" s="70">
        <f>ROUNDUP((M161),-2)</f>
        <v>1908100</v>
      </c>
      <c r="P161" s="71" t="s">
        <v>37</v>
      </c>
      <c r="Q161" s="70">
        <f t="shared" ref="Q161:Q162" si="55">ROUNDUP((O161),-2)</f>
        <v>1908100</v>
      </c>
      <c r="R161" s="72"/>
      <c r="S161" s="65"/>
      <c r="T161" s="421"/>
      <c r="U161" s="421"/>
      <c r="V161" s="421"/>
      <c r="W161" s="64"/>
      <c r="X161" s="73" t="str">
        <f>""&amp;TEXT($G$162,"0,0")&amp;" ед. х "&amp;TEXT(ROUND((I161),2),"0 000,00")&amp;" руб. = "&amp;TEXT(ROUND(((ROUND((G161*I161),2))),2),"0 000,00")&amp;" руб. = "&amp;TEXT(O161,"0 000,00")&amp;" руб."</f>
        <v>1800,0 ед. х 1 060,05 руб. = 1 908 090,00 руб. = 1 908 100,00 руб.</v>
      </c>
    </row>
    <row r="162" spans="1:24" ht="21" customHeight="1" x14ac:dyDescent="0.25">
      <c r="A162" s="389"/>
      <c r="B162" s="612"/>
      <c r="C162" s="64"/>
      <c r="D162" s="615"/>
      <c r="E162" s="615"/>
      <c r="F162" s="68" t="s">
        <v>151</v>
      </c>
      <c r="G162" s="98">
        <v>1800</v>
      </c>
      <c r="H162" s="67" t="s">
        <v>195</v>
      </c>
      <c r="I162" s="69">
        <v>1103.3</v>
      </c>
      <c r="J162" s="65" t="s">
        <v>25</v>
      </c>
      <c r="K162" s="69">
        <v>1</v>
      </c>
      <c r="L162" s="67" t="s">
        <v>37</v>
      </c>
      <c r="M162" s="98">
        <f>ROUND((G162*I162*K162),2)</f>
        <v>1985940</v>
      </c>
      <c r="N162" s="71" t="s">
        <v>37</v>
      </c>
      <c r="O162" s="70">
        <f>ROUNDUP((M162),-2)</f>
        <v>1986000</v>
      </c>
      <c r="P162" s="71" t="s">
        <v>37</v>
      </c>
      <c r="Q162" s="70">
        <f t="shared" si="55"/>
        <v>1986000</v>
      </c>
      <c r="R162" s="72"/>
      <c r="S162" s="65"/>
      <c r="T162" s="421"/>
      <c r="U162" s="421"/>
      <c r="V162" s="421"/>
      <c r="W162" s="64"/>
      <c r="X162" s="73" t="str">
        <f t="shared" ref="X162:X163" si="56">""&amp;TEXT($G$162,"0,0")&amp;" ед. х "&amp;TEXT(ROUND((I162),2),"0 000,00")&amp;" руб. = "&amp;TEXT(ROUND(((ROUND((G162*I162),2))),2),"0 000,00")&amp;" руб. = "&amp;TEXT(O162,"0 000,00")&amp;" руб."</f>
        <v>1800,0 ед. х 1 103,30 руб. = 1 985 940,00 руб. = 1 986 000,00 руб.</v>
      </c>
    </row>
    <row r="163" spans="1:24" ht="21" customHeight="1" x14ac:dyDescent="0.25">
      <c r="A163" s="390"/>
      <c r="B163" s="613"/>
      <c r="C163" s="64"/>
      <c r="D163" s="616"/>
      <c r="E163" s="616"/>
      <c r="F163" s="68" t="s">
        <v>193</v>
      </c>
      <c r="G163" s="98">
        <v>1800</v>
      </c>
      <c r="H163" s="67" t="s">
        <v>195</v>
      </c>
      <c r="I163" s="69">
        <f>I162*1.0408</f>
        <v>1148.3146399999998</v>
      </c>
      <c r="J163" s="65" t="s">
        <v>25</v>
      </c>
      <c r="K163" s="69">
        <v>1</v>
      </c>
      <c r="L163" s="67" t="s">
        <v>37</v>
      </c>
      <c r="M163" s="98">
        <f>ROUND((G163*I163*K163),2)</f>
        <v>2066966.35</v>
      </c>
      <c r="N163" s="71" t="s">
        <v>37</v>
      </c>
      <c r="O163" s="70">
        <f>ROUNDUP((M163),-2)</f>
        <v>2067000</v>
      </c>
      <c r="P163" s="71" t="s">
        <v>37</v>
      </c>
      <c r="Q163" s="70">
        <f>ROUNDUP((O163),-2)</f>
        <v>2067000</v>
      </c>
      <c r="R163" s="71" t="s">
        <v>37</v>
      </c>
      <c r="S163" s="65"/>
      <c r="T163" s="422"/>
      <c r="U163" s="422"/>
      <c r="V163" s="422"/>
      <c r="W163" s="64"/>
      <c r="X163" s="73" t="str">
        <f t="shared" si="56"/>
        <v>1800,0 ед. х 1 148,31 руб. = 2 066 966,35 руб. = 2 067 000,00 руб.</v>
      </c>
    </row>
    <row r="164" spans="1:24" x14ac:dyDescent="0.25">
      <c r="A164" s="100"/>
      <c r="B164" s="114"/>
      <c r="C164" s="61"/>
      <c r="D164" s="61"/>
      <c r="E164" s="61"/>
      <c r="F164" s="61"/>
      <c r="G164" s="61"/>
      <c r="H164" s="61"/>
      <c r="I164" s="61"/>
      <c r="J164" s="61"/>
      <c r="K164" s="61"/>
      <c r="L164" s="61"/>
      <c r="M164" s="61"/>
      <c r="N164" s="61"/>
      <c r="O164" s="61"/>
      <c r="P164" s="61"/>
      <c r="Q164" s="61"/>
      <c r="R164" s="61"/>
      <c r="S164" s="61"/>
      <c r="T164" s="114"/>
      <c r="U164" s="114"/>
      <c r="V164" s="114"/>
      <c r="W164" s="61"/>
      <c r="X164" s="61"/>
    </row>
    <row r="165" spans="1:24" ht="27.75" customHeight="1" x14ac:dyDescent="0.25">
      <c r="A165" s="481" t="s">
        <v>216</v>
      </c>
      <c r="B165" s="481"/>
      <c r="C165" s="481"/>
      <c r="D165" s="481"/>
      <c r="E165" s="481"/>
      <c r="F165" s="481"/>
      <c r="G165" s="481"/>
      <c r="H165" s="481"/>
      <c r="I165" s="481"/>
      <c r="J165" s="481"/>
      <c r="K165" s="481"/>
      <c r="L165" s="481"/>
      <c r="M165" s="481"/>
      <c r="N165" s="481"/>
      <c r="O165" s="481"/>
      <c r="P165" s="481"/>
      <c r="Q165" s="481"/>
      <c r="R165" s="481"/>
      <c r="S165" s="481"/>
      <c r="T165" s="481"/>
      <c r="U165" s="481"/>
      <c r="V165" s="481"/>
      <c r="W165" s="481"/>
      <c r="X165" s="481"/>
    </row>
    <row r="166" spans="1:24" ht="10.5" customHeight="1" x14ac:dyDescent="0.25">
      <c r="A166" s="101"/>
      <c r="B166" s="101"/>
      <c r="C166" s="101"/>
      <c r="D166" s="101"/>
      <c r="E166" s="101"/>
      <c r="F166" s="101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1"/>
      <c r="R166" s="101"/>
      <c r="S166" s="101"/>
      <c r="T166" s="101"/>
      <c r="U166" s="101"/>
      <c r="V166" s="101"/>
      <c r="W166" s="101"/>
      <c r="X166" s="101"/>
    </row>
    <row r="167" spans="1:24" ht="25.5" customHeight="1" x14ac:dyDescent="0.25">
      <c r="A167" s="102" t="s">
        <v>197</v>
      </c>
      <c r="X167" s="103" t="s">
        <v>196</v>
      </c>
    </row>
    <row r="169" spans="1:24" x14ac:dyDescent="0.25">
      <c r="A169" s="104">
        <v>43987</v>
      </c>
    </row>
  </sheetData>
  <autoFilter ref="D8:R158">
    <filterColumn colId="2" showButton="0"/>
    <filterColumn colId="3" showButton="0"/>
    <filterColumn colId="4" hiddenButton="1" showButton="0"/>
    <filterColumn colId="5" hiddenButton="1" showButton="0"/>
    <filterColumn colId="6" hiddenButton="1" showButton="0"/>
    <filterColumn colId="7" hiddenButton="1" showButton="0"/>
    <filterColumn colId="8" hiddenButton="1" showButton="0"/>
    <filterColumn colId="9" hiddenButton="1" showButton="0"/>
    <filterColumn colId="10" hiddenButton="1" showButton="0"/>
    <filterColumn colId="11" hiddenButton="1" showButton="0"/>
    <filterColumn colId="12" hiddenButton="1" showButton="0"/>
    <filterColumn colId="13" hiddenButton="1" showButton="0"/>
  </autoFilter>
  <mergeCells count="260">
    <mergeCell ref="X8:X9"/>
    <mergeCell ref="F11:S11"/>
    <mergeCell ref="A2:X2"/>
    <mergeCell ref="A3:X3"/>
    <mergeCell ref="A4:X4"/>
    <mergeCell ref="A5:X5"/>
    <mergeCell ref="A6:X6"/>
    <mergeCell ref="A8:A9"/>
    <mergeCell ref="B8:B9"/>
    <mergeCell ref="D8:D9"/>
    <mergeCell ref="E8:E9"/>
    <mergeCell ref="F8:R9"/>
    <mergeCell ref="F12:S12"/>
    <mergeCell ref="A13:A16"/>
    <mergeCell ref="B13:B16"/>
    <mergeCell ref="D13:D16"/>
    <mergeCell ref="E13:E16"/>
    <mergeCell ref="F13:R13"/>
    <mergeCell ref="T13:T16"/>
    <mergeCell ref="U13:U16"/>
    <mergeCell ref="T8:V8"/>
    <mergeCell ref="V13:V16"/>
    <mergeCell ref="V32:V36"/>
    <mergeCell ref="V37:V41"/>
    <mergeCell ref="T32:T36"/>
    <mergeCell ref="U32:U36"/>
    <mergeCell ref="A17:A23"/>
    <mergeCell ref="B17:B23"/>
    <mergeCell ref="D17:D23"/>
    <mergeCell ref="E17:E23"/>
    <mergeCell ref="F17:R17"/>
    <mergeCell ref="T17:T23"/>
    <mergeCell ref="U17:U23"/>
    <mergeCell ref="F26:S26"/>
    <mergeCell ref="V17:V23"/>
    <mergeCell ref="T37:T41"/>
    <mergeCell ref="U37:U41"/>
    <mergeCell ref="A32:A36"/>
    <mergeCell ref="B32:B36"/>
    <mergeCell ref="D32:D36"/>
    <mergeCell ref="E32:E36"/>
    <mergeCell ref="F32:R32"/>
    <mergeCell ref="A37:A41"/>
    <mergeCell ref="B37:B41"/>
    <mergeCell ref="D37:D41"/>
    <mergeCell ref="E37:E41"/>
    <mergeCell ref="X18:X19"/>
    <mergeCell ref="X20:X21"/>
    <mergeCell ref="X22:X23"/>
    <mergeCell ref="F24:S24"/>
    <mergeCell ref="F25:S25"/>
    <mergeCell ref="T27:T31"/>
    <mergeCell ref="U27:U31"/>
    <mergeCell ref="V27:V31"/>
    <mergeCell ref="A27:A31"/>
    <mergeCell ref="B27:B31"/>
    <mergeCell ref="D27:D31"/>
    <mergeCell ref="E27:E31"/>
    <mergeCell ref="F27:R27"/>
    <mergeCell ref="F37:R37"/>
    <mergeCell ref="V43:V47"/>
    <mergeCell ref="A48:A52"/>
    <mergeCell ref="B48:B52"/>
    <mergeCell ref="D48:D52"/>
    <mergeCell ref="E48:E52"/>
    <mergeCell ref="F48:R48"/>
    <mergeCell ref="T48:T52"/>
    <mergeCell ref="U48:U52"/>
    <mergeCell ref="V48:V52"/>
    <mergeCell ref="A43:A47"/>
    <mergeCell ref="B43:B47"/>
    <mergeCell ref="D43:D47"/>
    <mergeCell ref="E43:E47"/>
    <mergeCell ref="F43:R43"/>
    <mergeCell ref="T43:T47"/>
    <mergeCell ref="U43:U47"/>
    <mergeCell ref="F42:S42"/>
    <mergeCell ref="F53:S53"/>
    <mergeCell ref="A54:A58"/>
    <mergeCell ref="B54:B58"/>
    <mergeCell ref="D54:D58"/>
    <mergeCell ref="E54:E58"/>
    <mergeCell ref="F54:R54"/>
    <mergeCell ref="T54:T58"/>
    <mergeCell ref="U54:U58"/>
    <mergeCell ref="V54:V58"/>
    <mergeCell ref="U59:U63"/>
    <mergeCell ref="V59:V63"/>
    <mergeCell ref="F64:S64"/>
    <mergeCell ref="A65:A69"/>
    <mergeCell ref="B65:B69"/>
    <mergeCell ref="D65:D69"/>
    <mergeCell ref="E65:E69"/>
    <mergeCell ref="F65:R65"/>
    <mergeCell ref="T65:T69"/>
    <mergeCell ref="U65:U69"/>
    <mergeCell ref="A59:A63"/>
    <mergeCell ref="B59:B63"/>
    <mergeCell ref="D59:D63"/>
    <mergeCell ref="E59:E63"/>
    <mergeCell ref="F59:R59"/>
    <mergeCell ref="T59:T63"/>
    <mergeCell ref="F78:S78"/>
    <mergeCell ref="A79:A82"/>
    <mergeCell ref="B79:B82"/>
    <mergeCell ref="D79:D82"/>
    <mergeCell ref="E79:E82"/>
    <mergeCell ref="F79:R79"/>
    <mergeCell ref="V65:V69"/>
    <mergeCell ref="A76:A77"/>
    <mergeCell ref="D76:D77"/>
    <mergeCell ref="E76:E77"/>
    <mergeCell ref="F76:S77"/>
    <mergeCell ref="T76:T77"/>
    <mergeCell ref="U76:U77"/>
    <mergeCell ref="V76:V77"/>
    <mergeCell ref="T79:T82"/>
    <mergeCell ref="U79:U82"/>
    <mergeCell ref="V79:V82"/>
    <mergeCell ref="A70:A74"/>
    <mergeCell ref="B70:B74"/>
    <mergeCell ref="D70:D74"/>
    <mergeCell ref="E70:E74"/>
    <mergeCell ref="F70:R70"/>
    <mergeCell ref="T70:T74"/>
    <mergeCell ref="U70:U74"/>
    <mergeCell ref="F83:R83"/>
    <mergeCell ref="A84:A88"/>
    <mergeCell ref="B84:B88"/>
    <mergeCell ref="D84:D88"/>
    <mergeCell ref="E84:E88"/>
    <mergeCell ref="F84:R84"/>
    <mergeCell ref="T84:T88"/>
    <mergeCell ref="U84:U88"/>
    <mergeCell ref="V84:V88"/>
    <mergeCell ref="A89:A93"/>
    <mergeCell ref="B89:B93"/>
    <mergeCell ref="D89:D93"/>
    <mergeCell ref="E89:E93"/>
    <mergeCell ref="F89:R89"/>
    <mergeCell ref="T89:T93"/>
    <mergeCell ref="U89:U93"/>
    <mergeCell ref="V89:V93"/>
    <mergeCell ref="F104:S104"/>
    <mergeCell ref="U94:U98"/>
    <mergeCell ref="V94:V98"/>
    <mergeCell ref="A99:A103"/>
    <mergeCell ref="B99:B103"/>
    <mergeCell ref="D99:D103"/>
    <mergeCell ref="E99:E103"/>
    <mergeCell ref="F99:R99"/>
    <mergeCell ref="T99:T103"/>
    <mergeCell ref="U99:U103"/>
    <mergeCell ref="V99:V103"/>
    <mergeCell ref="A94:A98"/>
    <mergeCell ref="B94:B98"/>
    <mergeCell ref="D94:D98"/>
    <mergeCell ref="E94:E98"/>
    <mergeCell ref="F94:R94"/>
    <mergeCell ref="T94:T98"/>
    <mergeCell ref="F119:S119"/>
    <mergeCell ref="A120:A123"/>
    <mergeCell ref="B120:B123"/>
    <mergeCell ref="D120:D123"/>
    <mergeCell ref="E120:E123"/>
    <mergeCell ref="F120:R120"/>
    <mergeCell ref="T120:T123"/>
    <mergeCell ref="A105:A108"/>
    <mergeCell ref="B105:B108"/>
    <mergeCell ref="D105:D108"/>
    <mergeCell ref="E105:E108"/>
    <mergeCell ref="F105:R105"/>
    <mergeCell ref="T105:T108"/>
    <mergeCell ref="U105:U108"/>
    <mergeCell ref="V109:V113"/>
    <mergeCell ref="A114:A118"/>
    <mergeCell ref="B114:B118"/>
    <mergeCell ref="D114:D118"/>
    <mergeCell ref="E114:E118"/>
    <mergeCell ref="F114:R114"/>
    <mergeCell ref="T114:T118"/>
    <mergeCell ref="U114:U118"/>
    <mergeCell ref="V114:V118"/>
    <mergeCell ref="A109:A113"/>
    <mergeCell ref="B109:B113"/>
    <mergeCell ref="D109:D113"/>
    <mergeCell ref="E109:E113"/>
    <mergeCell ref="F109:R109"/>
    <mergeCell ref="T109:T113"/>
    <mergeCell ref="U109:U113"/>
    <mergeCell ref="V105:V108"/>
    <mergeCell ref="V120:V123"/>
    <mergeCell ref="A124:A127"/>
    <mergeCell ref="B124:B127"/>
    <mergeCell ref="D124:D127"/>
    <mergeCell ref="E124:E127"/>
    <mergeCell ref="F124:R124"/>
    <mergeCell ref="T124:T127"/>
    <mergeCell ref="U124:U127"/>
    <mergeCell ref="V124:V127"/>
    <mergeCell ref="U120:U123"/>
    <mergeCell ref="U144:U148"/>
    <mergeCell ref="V144:V148"/>
    <mergeCell ref="A128:A132"/>
    <mergeCell ref="B128:B132"/>
    <mergeCell ref="D128:D132"/>
    <mergeCell ref="E128:E132"/>
    <mergeCell ref="F128:R128"/>
    <mergeCell ref="T128:T132"/>
    <mergeCell ref="U128:U132"/>
    <mergeCell ref="V128:V132"/>
    <mergeCell ref="F143:S143"/>
    <mergeCell ref="U154:U158"/>
    <mergeCell ref="V154:V158"/>
    <mergeCell ref="A144:A148"/>
    <mergeCell ref="B144:B148"/>
    <mergeCell ref="D144:D148"/>
    <mergeCell ref="E144:E148"/>
    <mergeCell ref="F144:R144"/>
    <mergeCell ref="U133:U137"/>
    <mergeCell ref="V133:V137"/>
    <mergeCell ref="A138:A142"/>
    <mergeCell ref="B138:B142"/>
    <mergeCell ref="D138:D142"/>
    <mergeCell ref="E138:E142"/>
    <mergeCell ref="F138:R138"/>
    <mergeCell ref="T138:T142"/>
    <mergeCell ref="U138:U142"/>
    <mergeCell ref="V138:V142"/>
    <mergeCell ref="A133:A137"/>
    <mergeCell ref="B133:B137"/>
    <mergeCell ref="D133:D137"/>
    <mergeCell ref="E133:E137"/>
    <mergeCell ref="F133:R133"/>
    <mergeCell ref="T133:T137"/>
    <mergeCell ref="T144:T148"/>
    <mergeCell ref="V70:V74"/>
    <mergeCell ref="U159:U163"/>
    <mergeCell ref="V159:V163"/>
    <mergeCell ref="A165:X165"/>
    <mergeCell ref="A159:A163"/>
    <mergeCell ref="B159:B163"/>
    <mergeCell ref="D159:D163"/>
    <mergeCell ref="E159:E163"/>
    <mergeCell ref="F159:R159"/>
    <mergeCell ref="T159:T163"/>
    <mergeCell ref="A149:A153"/>
    <mergeCell ref="B149:B153"/>
    <mergeCell ref="D149:D153"/>
    <mergeCell ref="E149:E153"/>
    <mergeCell ref="F149:R149"/>
    <mergeCell ref="T149:T153"/>
    <mergeCell ref="U149:U153"/>
    <mergeCell ref="V149:V153"/>
    <mergeCell ref="A154:A158"/>
    <mergeCell ref="B154:B158"/>
    <mergeCell ref="D154:D158"/>
    <mergeCell ref="E154:E158"/>
    <mergeCell ref="F154:R154"/>
    <mergeCell ref="T154:T158"/>
  </mergeCells>
  <pageMargins left="0.55118110236220474" right="0.39370078740157483" top="0.82677165354330717" bottom="0.35433070866141736" header="0.31496062992125984" footer="0.19685039370078741"/>
  <pageSetup paperSize="9" scale="45" fitToHeight="1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22</vt:i4>
      </vt:variant>
    </vt:vector>
  </HeadingPairs>
  <TitlesOfParts>
    <vt:vector size="35" baseType="lpstr">
      <vt:lpstr>Лист2</vt:lpstr>
      <vt:lpstr>18.03.24  2024-2026</vt:lpstr>
      <vt:lpstr>01.03.24  2024-2026 </vt:lpstr>
      <vt:lpstr>31.05.23  2024-2026</vt:lpstr>
      <vt:lpstr>10.05.23  2023-2025</vt:lpstr>
      <vt:lpstr>24.06.22  2023-2025</vt:lpstr>
      <vt:lpstr>01.07.22 ГКУ ЦБ 2022-2024 </vt:lpstr>
      <vt:lpstr>01.10.21 ГКУ ЦБ 2022-2024 </vt:lpstr>
      <vt:lpstr>ГКУ ЦБ 2022-2024</vt:lpstr>
      <vt:lpstr>ГКУ ЦБ 2021-2023  (2)</vt:lpstr>
      <vt:lpstr>ГКУ ЦБ 2021-2023 </vt:lpstr>
      <vt:lpstr>ГКУ ЦБ 2020-2022</vt:lpstr>
      <vt:lpstr>Лист1</vt:lpstr>
      <vt:lpstr>'01.03.24  2024-2026 '!Заголовки_для_печати</vt:lpstr>
      <vt:lpstr>'01.07.22 ГКУ ЦБ 2022-2024 '!Заголовки_для_печати</vt:lpstr>
      <vt:lpstr>'01.10.21 ГКУ ЦБ 2022-2024 '!Заголовки_для_печати</vt:lpstr>
      <vt:lpstr>'10.05.23  2023-2025'!Заголовки_для_печати</vt:lpstr>
      <vt:lpstr>'18.03.24  2024-2026'!Заголовки_для_печати</vt:lpstr>
      <vt:lpstr>'24.06.22  2023-2025'!Заголовки_для_печати</vt:lpstr>
      <vt:lpstr>'31.05.23  2024-2026'!Заголовки_для_печати</vt:lpstr>
      <vt:lpstr>'ГКУ ЦБ 2020-2022'!Заголовки_для_печати</vt:lpstr>
      <vt:lpstr>'ГКУ ЦБ 2021-2023 '!Заголовки_для_печати</vt:lpstr>
      <vt:lpstr>'ГКУ ЦБ 2021-2023  (2)'!Заголовки_для_печати</vt:lpstr>
      <vt:lpstr>'ГКУ ЦБ 2022-2024'!Заголовки_для_печати</vt:lpstr>
      <vt:lpstr>'01.03.24  2024-2026 '!Область_печати</vt:lpstr>
      <vt:lpstr>'01.07.22 ГКУ ЦБ 2022-2024 '!Область_печати</vt:lpstr>
      <vt:lpstr>'01.10.21 ГКУ ЦБ 2022-2024 '!Область_печати</vt:lpstr>
      <vt:lpstr>'10.05.23  2023-2025'!Область_печати</vt:lpstr>
      <vt:lpstr>'18.03.24  2024-2026'!Область_печати</vt:lpstr>
      <vt:lpstr>'24.06.22  2023-2025'!Область_печати</vt:lpstr>
      <vt:lpstr>'31.05.23  2024-2026'!Область_печати</vt:lpstr>
      <vt:lpstr>'ГКУ ЦБ 2020-2022'!Область_печати</vt:lpstr>
      <vt:lpstr>'ГКУ ЦБ 2021-2023 '!Область_печати</vt:lpstr>
      <vt:lpstr>'ГКУ ЦБ 2021-2023  (2)'!Область_печати</vt:lpstr>
      <vt:lpstr>'ГКУ ЦБ 2022-2024'!Область_печати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2024-04-01T08:35:03Z</dcterms:modified>
</cp:coreProperties>
</file>