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harova_OS\Desktop\Документы\Нормативные затраты по ИОГВ и ГКУ\Распоряжения о НЗ\Распоряжение 2023-2025\"/>
    </mc:Choice>
  </mc:AlternateContent>
  <bookViews>
    <workbookView xWindow="0" yWindow="0" windowWidth="2370" windowHeight="0"/>
  </bookViews>
  <sheets>
    <sheet name="НЗ 2023-2025 ГКУ ЖА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2" l="1"/>
  <c r="D61" i="2"/>
  <c r="C61" i="2"/>
  <c r="E60" i="2"/>
  <c r="D60" i="2"/>
  <c r="C60" i="2"/>
  <c r="E58" i="2"/>
  <c r="D58" i="2"/>
  <c r="E57" i="2"/>
  <c r="D57" i="2"/>
  <c r="C57" i="2"/>
  <c r="E56" i="2"/>
  <c r="D56" i="2"/>
  <c r="C56" i="2"/>
  <c r="E55" i="2"/>
  <c r="D55" i="2"/>
  <c r="C55" i="2"/>
  <c r="E53" i="2"/>
  <c r="D53" i="2"/>
  <c r="D50" i="2" s="1"/>
  <c r="E51" i="2"/>
  <c r="D51" i="2"/>
  <c r="C51" i="2"/>
  <c r="E49" i="2"/>
  <c r="D49" i="2"/>
  <c r="D47" i="2" s="1"/>
  <c r="E47" i="2"/>
  <c r="C47" i="2"/>
  <c r="E46" i="2"/>
  <c r="D46" i="2"/>
  <c r="C46" i="2"/>
  <c r="E45" i="2"/>
  <c r="D45" i="2"/>
  <c r="E44" i="2"/>
  <c r="D44" i="2"/>
  <c r="E43" i="2"/>
  <c r="D43" i="2"/>
  <c r="E42" i="2"/>
  <c r="D42" i="2"/>
  <c r="C42" i="2"/>
  <c r="E41" i="2"/>
  <c r="D41" i="2"/>
  <c r="C41" i="2"/>
  <c r="E40" i="2"/>
  <c r="E39" i="2" s="1"/>
  <c r="D40" i="2"/>
  <c r="C40" i="2"/>
  <c r="E37" i="2"/>
  <c r="E36" i="2" s="1"/>
  <c r="D37" i="2"/>
  <c r="C37" i="2"/>
  <c r="C36" i="2" s="1"/>
  <c r="D36" i="2"/>
  <c r="E35" i="2"/>
  <c r="D35" i="2"/>
  <c r="C35" i="2"/>
  <c r="E33" i="2"/>
  <c r="D33" i="2"/>
  <c r="D32" i="2" s="1"/>
  <c r="C33" i="2"/>
  <c r="C32" i="2" s="1"/>
  <c r="E31" i="2"/>
  <c r="D31" i="2"/>
  <c r="C31" i="2"/>
  <c r="E30" i="2"/>
  <c r="E29" i="2" s="1"/>
  <c r="D30" i="2"/>
  <c r="D29" i="2" s="1"/>
  <c r="C30" i="2"/>
  <c r="C29" i="2" s="1"/>
  <c r="E28" i="2"/>
  <c r="D28" i="2"/>
  <c r="C28" i="2"/>
  <c r="E27" i="2"/>
  <c r="D27" i="2"/>
  <c r="C27" i="2"/>
  <c r="E26" i="2"/>
  <c r="D26" i="2"/>
  <c r="C26" i="2"/>
  <c r="E23" i="2"/>
  <c r="D23" i="2"/>
  <c r="C23" i="2"/>
  <c r="E22" i="2"/>
  <c r="D22" i="2"/>
  <c r="C22" i="2"/>
  <c r="E21" i="2"/>
  <c r="D21" i="2"/>
  <c r="D19" i="2" s="1"/>
  <c r="C21" i="2"/>
  <c r="E20" i="2"/>
  <c r="D20" i="2"/>
  <c r="C20" i="2"/>
  <c r="E18" i="2"/>
  <c r="D18" i="2"/>
  <c r="C18" i="2"/>
  <c r="E16" i="2"/>
  <c r="E15" i="2" s="1"/>
  <c r="D16" i="2"/>
  <c r="C16" i="2"/>
  <c r="C15" i="2" s="1"/>
  <c r="D15" i="2"/>
  <c r="C19" i="2" l="1"/>
  <c r="C17" i="2" s="1"/>
  <c r="C14" i="2" s="1"/>
  <c r="C25" i="2"/>
  <c r="C50" i="2"/>
  <c r="D25" i="2"/>
  <c r="C39" i="2"/>
  <c r="D17" i="2"/>
  <c r="D14" i="2" s="1"/>
  <c r="E32" i="2"/>
  <c r="E19" i="2"/>
  <c r="E17" i="2" s="1"/>
  <c r="E14" i="2" s="1"/>
  <c r="E25" i="2"/>
  <c r="D39" i="2"/>
  <c r="E50" i="2"/>
  <c r="E24" i="2" l="1"/>
  <c r="D24" i="2"/>
  <c r="C24" i="2"/>
</calcChain>
</file>

<file path=xl/sharedStrings.xml><?xml version="1.0" encoding="utf-8"?>
<sst xmlns="http://schemas.openxmlformats.org/spreadsheetml/2006/main" count="172" uniqueCount="145">
  <si>
    <t xml:space="preserve">                                                                                Приложение № 2</t>
  </si>
  <si>
    <t xml:space="preserve">                                                                                к распоряжению администрации</t>
  </si>
  <si>
    <t xml:space="preserve">                                                                                Центрального района Санкт-Петербурга</t>
  </si>
  <si>
    <t xml:space="preserve">                                                                                от   __________ № __________</t>
  </si>
  <si>
    <t xml:space="preserve">НОРМАТИВНЫЕ ЗАТРАТЫ </t>
  </si>
  <si>
    <t xml:space="preserve">на обеспечение функций Санкт-Петербургского государственного казенного учреждения «Жилищное агентство Центрального района Санкт-Петербурга» </t>
  </si>
  <si>
    <t>№ п/п</t>
  </si>
  <si>
    <t>Вид (группа, подгруппа) затрат</t>
  </si>
  <si>
    <t>Значение нормативных затрат, 
руб. в год</t>
  </si>
  <si>
    <t xml:space="preserve">Порядок расчета нормативных затрат </t>
  </si>
  <si>
    <t>2023 год</t>
  </si>
  <si>
    <t>2024 год</t>
  </si>
  <si>
    <t>2025 год</t>
  </si>
  <si>
    <t>1</t>
  </si>
  <si>
    <t xml:space="preserve">Затраты на информационно-коммуникационные технологии </t>
  </si>
  <si>
    <t>Нормативные затраты на информационно-коммуникационные технологии включают 
в себя:
затраты на содержание имущества;
затраты на приобретение прочих работ и услуг, не относящихся к затратам на услуги связи, аренду и содержание имущества</t>
  </si>
  <si>
    <t>1.1</t>
  </si>
  <si>
    <t>Затраты на содержание имущества</t>
  </si>
  <si>
    <t>Нормативные затраты на содержание имущества включают в себя нормативные затраты 
на оплату услуг по заправке картриджей для копировально-множительной техники</t>
  </si>
  <si>
    <t>1.1.1</t>
  </si>
  <si>
    <t>Затраты на оплату  услуг по заправке картриджей для 
копировально-множительной техники</t>
  </si>
  <si>
    <t>Нормативные затраты рассчитываются на очередной финансовый год и на плановый период исходя из потребности с учетом показателей индекса роста потребительских цен</t>
  </si>
  <si>
    <t>1.2</t>
  </si>
  <si>
    <t>Затраты на приобретение прочих работ и услуг, не относящихся 
к затратам на услуги связи, аренду 
и содержание имущества</t>
  </si>
  <si>
    <t>Нормативные затраты на приобретение прочих работ и услуг, не относящихся к затратам 
на услуги связи, аренду и содержание имущества включают в себя: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обеспечения;
затраты на приобретение материальных запасов в сфере информационно-коммуникационных технологий</t>
  </si>
  <si>
    <t>1.2.1</t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</si>
  <si>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</si>
  <si>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 xml:space="preserve">НЗ  = Чр × Нц,
где:
НЗ - нормативные затраты на приобретение лицензий на использование программного обеспечения и приобретение услуг по сопровождению программного обеспечения;
Чр - расчетная численность работников;
Нц  - норматив цены на приобретение лицензий на использование программного обеспечения     и приобретение услуг по сопровождению программного обеспечения </t>
  </si>
  <si>
    <t>1.2.2</t>
  </si>
  <si>
    <t>Затраты на приобретение материальных запасов в сфере 
информационно-коммуникационных технологий</t>
  </si>
  <si>
    <t>Нормативные затраты на приобретение материальных запасов в сфере 
информационно-коммуникационных технологий включают в себя:
затраты на приобретение деталей для содержания принтеров, многофункциональных устройств и копировальных аппаратов (оргтехники); 
затраты на приобретение запасных частей для вычислительной техники;
затраты на приобретение магнитных и оптических носителей информации;
затраты на приобретение картриджей</t>
  </si>
  <si>
    <t>1.2.2.1</t>
  </si>
  <si>
    <t xml:space="preserve">Затраты на приобретение деталей 
для содержания принтеров, многофункциональных устройств 
и копировальных аппаратов (оргтехники) </t>
  </si>
  <si>
    <r>
      <t>НЗ</t>
    </r>
    <r>
      <rPr>
        <vertAlign val="subscript"/>
        <sz val="12"/>
        <color theme="1"/>
        <rFont val="Times New Roman"/>
        <family val="1"/>
        <charset val="204"/>
      </rPr>
      <t>дет орг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дет орг</t>
    </r>
    <r>
      <rPr>
        <sz val="12"/>
        <color theme="1"/>
        <rFont val="Times New Roman"/>
        <family val="1"/>
        <charset val="204"/>
      </rPr>
      <t xml:space="preserve"> × НЗ</t>
    </r>
    <r>
      <rPr>
        <vertAlign val="subscript"/>
        <sz val="12"/>
        <color theme="1"/>
        <rFont val="Times New Roman"/>
        <family val="1"/>
        <charset val="204"/>
      </rPr>
      <t>орг</t>
    </r>
    <r>
      <rPr>
        <sz val="12"/>
        <color theme="1"/>
        <rFont val="Times New Roman"/>
        <family val="1"/>
        <charset val="204"/>
      </rPr>
      <t>, 
где: 
НЗдет орг - нормативные затраты на приобретение деталей для содержания оргтехники (принтеров, многофункциональных устройств и копировальных аппаратов); 
Нц дет орг - норматив цены приобретения деталей для содержания оргтехники (принтеров, многофункциональных устройств и копировальных аппаратов);
НЗорг - нормативные затраты на приобретение оргтехники (приобретение принтеров, многофункциональных устройств, копировальных аппаратов), определяемые 
в соответствии с пунктом 1.5.2 приложения к Правилам определения нормативных затрат</t>
    </r>
  </si>
  <si>
    <t>1.2.2.2</t>
  </si>
  <si>
    <t>Затраты на приобретение других запасных частей для вычислительной техники</t>
  </si>
  <si>
    <r>
      <t>НЗ</t>
    </r>
    <r>
      <rPr>
        <vertAlign val="subscript"/>
        <sz val="12"/>
        <color theme="1"/>
        <rFont val="Times New Roman"/>
        <family val="1"/>
        <charset val="204"/>
      </rPr>
      <t>зч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зч</t>
    </r>
    <r>
      <rPr>
        <sz val="12"/>
        <color theme="1"/>
        <rFont val="Times New Roman"/>
        <family val="1"/>
        <charset val="204"/>
      </rPr>
      <t xml:space="preserve"> x С</t>
    </r>
    <r>
      <rPr>
        <vertAlign val="subscript"/>
        <sz val="12"/>
        <color theme="1"/>
        <rFont val="Times New Roman"/>
        <family val="1"/>
        <charset val="204"/>
      </rPr>
      <t>вт</t>
    </r>
    <r>
      <rPr>
        <sz val="12"/>
        <color theme="1"/>
        <rFont val="Times New Roman"/>
        <family val="1"/>
        <charset val="204"/>
      </rPr>
      <t>, 
где: 
НЗзч - нормативные затраты на приобретение других запасных частей для вычислительной техники; 
Нц зч - норматив цены запасных частей для вычислительной техники; 
Свт - первоначальная стоимость вычислительной техники, находящейся на балансе</t>
    </r>
  </si>
  <si>
    <t>1.2.2.3</t>
  </si>
  <si>
    <t>Затраты на приобретение магнитных 
и оптических носителей информации</t>
  </si>
  <si>
    <t>НЗ мон =  ∑ Нк из i × Нц из i, 
i =1, 
где: 
НЗ мон - нормативные затраты, относящиеся к затратам на приобретение магнитных 
и оптических носителей информации; 
Нк из i   - норматив количества планируемых к приобретению i-го товара; 
Нц из i  - норматив цены  1 единицы i-го товара, определяемый в соответствии 
с положениями статьи 22 Закона 44-ФЗ и рассчитываемый  в ценах на очередной финансовый год и на плановый период</t>
  </si>
  <si>
    <t>1.2.2.4</t>
  </si>
  <si>
    <t>Затраты на приобретение картриджей</t>
  </si>
  <si>
    <t>Нормативные затраты на очередной финансовый год и на плановый период определяются затратами на текущий финансовый год с учетом показателей индекса роста потребительских цен</t>
  </si>
  <si>
    <t>2</t>
  </si>
  <si>
    <t xml:space="preserve">Прочие затраты (в том числе затраты на закупку товаров, работ и услуг 
в целях оказания государственных услуг (выполнения работ) 
и реализации государственных функций), не указанные в подпунктах «а» - «ж» пункта 6 Общих правил </t>
  </si>
  <si>
    <t>2.1</t>
  </si>
  <si>
    <t>Затраты на услуги связи</t>
  </si>
  <si>
    <t>2.1.1</t>
  </si>
  <si>
    <t>Затраты на оплату услуг почтовой связи</t>
  </si>
  <si>
    <t>2.1.2</t>
  </si>
  <si>
    <t xml:space="preserve">Затраты на оплату поставки маркированных конвертов, марок </t>
  </si>
  <si>
    <t>2.1.3</t>
  </si>
  <si>
    <t>2.2</t>
  </si>
  <si>
    <t>Затраты на транспортные услуги</t>
  </si>
  <si>
    <t>Нормативные затраты на транспортные услуги включают в себя нормативные затраты 
на оплату транспортных услуг в Санкт-Петербурге</t>
  </si>
  <si>
    <t>2.2.1</t>
  </si>
  <si>
    <t>Затраты на оплату транспортных услуг: приобретение единых проездных билетов Метрополитена 
и наземного общественного транспорта</t>
  </si>
  <si>
    <t>2.3</t>
  </si>
  <si>
    <t>Затраты на коммунальные услуги</t>
  </si>
  <si>
    <r>
      <t>Нормативные з</t>
    </r>
    <r>
      <rPr>
        <sz val="12"/>
        <color rgb="FF000001"/>
        <rFont val="Times New Roman"/>
        <family val="1"/>
        <charset val="204"/>
      </rPr>
      <t xml:space="preserve">атраты </t>
    </r>
    <r>
      <rPr>
        <sz val="12"/>
        <color theme="1"/>
        <rFont val="Times New Roman"/>
        <family val="1"/>
        <charset val="204"/>
      </rPr>
      <t>на коммунальные услуги включают в себя з</t>
    </r>
    <r>
      <rPr>
        <sz val="12"/>
        <color rgb="FF000001"/>
        <rFont val="Times New Roman"/>
        <family val="1"/>
        <charset val="204"/>
      </rPr>
      <t xml:space="preserve">атраты 
на электроснабжение, </t>
    </r>
    <r>
      <rPr>
        <sz val="12"/>
        <color theme="1"/>
        <rFont val="Times New Roman"/>
        <family val="1"/>
        <charset val="204"/>
      </rPr>
      <t>з</t>
    </r>
    <r>
      <rPr>
        <sz val="12"/>
        <color rgb="FF000001"/>
        <rFont val="Times New Roman"/>
        <family val="1"/>
        <charset val="204"/>
      </rPr>
      <t xml:space="preserve">атраты на теплоснабжение, затраты на холодное водоснабжение 
и водоотведение. 
Затраты определяются в соответствии с положениями статьи 22 Закона 44-ФЗ 
и рассчитываются в ценах на очередной финансовый год и на плановый период </t>
    </r>
  </si>
  <si>
    <t>2.4</t>
  </si>
  <si>
    <t>Нормативные затраты на содержание имущества включают в себя: 
затраты на содержание и техническое обслуживание помещений;                                                                                                          затраты на ремонт помещений; 
затраты на ремонт и обслуживание автотранспортных средств; 
затраты на техническое обслуживание иного оборудования</t>
  </si>
  <si>
    <t>2.4.1</t>
  </si>
  <si>
    <t xml:space="preserve">Затраты на содержание и техническое обслуживание служебных помещений </t>
  </si>
  <si>
    <t>Нормативные затраты определяются в соответствии с положениями статьи 22 
Закона 44-ФЗ и рассчитываются в ценах на очередной финансовый год и на плановый период</t>
  </si>
  <si>
    <t>2.4.2</t>
  </si>
  <si>
    <t xml:space="preserve">Затраты на ремонт служебных помещений </t>
  </si>
  <si>
    <t>2.4.3</t>
  </si>
  <si>
    <t>2.4.4</t>
  </si>
  <si>
    <t>Нормативные затраты на техническое обслуживание комплексных систем обеспечения безопасности определяются в соответствии с положениями статьи 22 Закона 44-ФЗ
 и рассчитываются в ценах на очередной финансовый год и на плановый период</t>
  </si>
  <si>
    <t>2.4.4.1</t>
  </si>
  <si>
    <t>2.5</t>
  </si>
  <si>
    <t xml:space="preserve">Затраты на приобретение прочих работ и услуг, не относящихся 
к затратам на услуги связи, транспортные услуги, оплату расходов по договорам об оказании услуг, связанных с проездом и наймом жилого помещения в связи 
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  </t>
  </si>
  <si>
    <t xml:space="preserve">Затраты на услуги охраны </t>
  </si>
  <si>
    <t>Затраты на приобретение полисов обязательного страхования гражданской ответственности владельцев транспортных средств</t>
  </si>
  <si>
    <t>Затраты на оценку рыночной стоимости, диагностику, утилизацию 
и услуги по определению технического состояния движимого имущества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</si>
  <si>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 xml:space="preserve">оказание услуг 
по проведению профосмотра сотрудников </t>
    </r>
  </si>
  <si>
    <r>
      <t xml:space="preserve">Затраты на </t>
    </r>
    <r>
      <rPr>
        <sz val="12"/>
        <color rgb="FF000000"/>
        <rFont val="Times New Roman"/>
        <family val="1"/>
        <charset val="204"/>
      </rPr>
      <t>оказание услуг 
по обучению сотрудников, повышение квалификации</t>
    </r>
  </si>
  <si>
    <t>2.6</t>
  </si>
  <si>
    <t>Затраты на приобретение основных средств</t>
  </si>
  <si>
    <t>Нормативные затраты на приобретение основных средств включает в себя: 
затраты на приобретение мебели; 
затраты на приобретение бытовой техники</t>
  </si>
  <si>
    <t>2.6.1</t>
  </si>
  <si>
    <t>Затраты на приобретение мебели</t>
  </si>
  <si>
    <t xml:space="preserve">                                                                                                                                                                                                                     
где: 
НЗмеб - нормативные затраты на приобретение комплекта мебели; 
Нц меб - норматив цены комплекта мебели в расчете на одного работника; 
Чпр - прогнозируемая численность работников; 
Нспи меб - норматив срока полезного использования комплекта мебели; 
Чпл - количество должностей, планируемых к замещению</t>
  </si>
  <si>
    <t>2.6.2</t>
  </si>
  <si>
    <t>Затраты на приобретение бытовой техники, телефонных аппаратов</t>
  </si>
  <si>
    <t>2.7</t>
  </si>
  <si>
    <t>Затраты на приобретение материальных запасов, не отнесенные к затратам, указанным в подпунктах «а» - «ж» пункта 6 Общих правил</t>
  </si>
  <si>
    <t xml:space="preserve">Нормативные затраты на приобретение материальных запасов, не отнесенные к затратам, указанным 
в подпунктах «а» - «ж» пункта 6 Общих правил: 
затраты на приобретение бланочной продукции; 
затраты на приобретение канцелярских принадлежностей;
затраты на приобретение бумаги;
затраты на приобретение хозяйственных товаров и принадлежностей;
затраты на приобретение горюче-смазочных материалов;
затраты на приобретение расходных материалов для транспортных средств;
затраты на приобретение средств индивидуальной защиты (антисептики, перчатки, маски)
затраты на приобретение аптечек для оказания первой помощи
</t>
  </si>
  <si>
    <t>2.7.1</t>
  </si>
  <si>
    <t xml:space="preserve">Затраты на приобретение бланочной продукции </t>
  </si>
  <si>
    <t>2.7.2</t>
  </si>
  <si>
    <t xml:space="preserve">Затраты на приобретение канцелярских принадлежностей </t>
  </si>
  <si>
    <t>НЗ канц = Чр × Нц канц,
где: НЗ канц – нормативные затраты на приобретение канцелярских принадлежностей;
Чр – расчетная численность работников;
Нц канц – норматив цены набора канцелярских принадлежностей для одного работника</t>
  </si>
  <si>
    <t>Затраты на приобретение бумаги 
для офисной техники</t>
  </si>
  <si>
    <t xml:space="preserve">Затраты на приобретение хозяйственных товаров 
и принадлежностей </t>
  </si>
  <si>
    <r>
      <t>НЗ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 = П</t>
    </r>
    <r>
      <rPr>
        <vertAlign val="subscript"/>
        <sz val="12"/>
        <color theme="1"/>
        <rFont val="Times New Roman"/>
        <family val="1"/>
        <charset val="204"/>
      </rPr>
      <t>пом</t>
    </r>
    <r>
      <rPr>
        <sz val="12"/>
        <color theme="1"/>
        <rFont val="Times New Roman"/>
        <family val="1"/>
        <charset val="204"/>
      </rPr>
      <t xml:space="preserve"> × Н</t>
    </r>
    <r>
      <rPr>
        <vertAlign val="subscript"/>
        <sz val="12"/>
        <color theme="1"/>
        <rFont val="Times New Roman"/>
        <family val="1"/>
        <charset val="204"/>
      </rPr>
      <t>ц хоз</t>
    </r>
    <r>
      <rPr>
        <sz val="12"/>
        <color theme="1"/>
        <rFont val="Times New Roman"/>
        <family val="1"/>
        <charset val="204"/>
      </rPr>
      <t xml:space="preserve"> × М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>, где: 
НЗхоз - нормативные затраты на приобретение хозяйственных товаров 
и принадлежностей; 
Ппом - площадь обслуживаемых помещений; 
Нц хоз - норматив цены набора хозяйственных товаров и принадлежностей в расчете 
на один кв. м обслуживаемых помещений за один месяц обслуживания; 
Мхоз - количество месяцев обслуживания помещений</t>
    </r>
  </si>
  <si>
    <t>Затраты на приобретение 
горюче-смазочных материалов</t>
  </si>
  <si>
    <t>Затраты на приобретение расходных материалов для транспортных средств</t>
  </si>
  <si>
    <t>Нормативные затраты определяются в соответствии с положениями статьи 22
Закона 44-ФЗ и рассчитываются в ценах на очередной финансовый год и на плановый период</t>
  </si>
  <si>
    <t>Затраты на приобретение средств индивидуальной защиты (антисептики, перчатки, маски)</t>
  </si>
  <si>
    <t>Затраты на приобретение аптечек 
для оказания первой помощи</t>
  </si>
  <si>
    <t>2.8</t>
  </si>
  <si>
    <t>Затраты на ремонт и оснащение пустующих жилых помещений, являющихся собственностью 
Санкт-Петербурга</t>
  </si>
  <si>
    <t>2.9</t>
  </si>
  <si>
    <t>Затраты на содержание и оснащение жилых и нежилых помещений 
(за исключением пустующих), являющихся собственностью 
Санкт-Петербурга</t>
  </si>
  <si>
    <t>2.10</t>
  </si>
  <si>
    <t>Затраты на содержание пустующих жилых и нежилых помещений, являющихся собственностью 
Санкт-Петербурга</t>
  </si>
  <si>
    <t>Затраты на водоотведение поверхностных сточных вод 
с придомовых территорий, 
не входящих в состав общего имущества многоквартирных домов</t>
  </si>
  <si>
    <t>2.12</t>
  </si>
  <si>
    <t xml:space="preserve">Затраты на предупреждение аварийных ситуаций и ликвидацию 
их последствий в отношении объектов системы жизнеобеспечения населения </t>
  </si>
  <si>
    <t>2.13</t>
  </si>
  <si>
    <t>Затраты на обеспечение содержания нежилых зданий, а также помещений 
в таких зданиях, являющихся имуществом казны Санкт-Петербурга 
и не переданных по договорам третьим лицам</t>
  </si>
  <si>
    <t>2.14</t>
  </si>
  <si>
    <t>Затраты на уборку внутриквартальных территорий, входящих в состав земель общего пользования</t>
  </si>
  <si>
    <t xml:space="preserve"> </t>
  </si>
  <si>
    <t xml:space="preserve">на 2023 год и на плановый период 2024 и 2025 годов </t>
  </si>
  <si>
    <t>Затраты на приобретение электронных периодических изданий</t>
  </si>
  <si>
    <t>Нормативные затраты на приобретение прочих работ и услуг, не относящихся к затратам 
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 включает в себя: 
затраты на оплату услуг охраны; 
затраты на приобретение полюсов обязательного страхования гражданской ответственности владельцев транспортных средств; 
затраты на проведение предрейсового и послерейсового осмотра водителей автотранспортных средств; 
затраты на приобретение электронных периодических изданий;
затраты на оценку рыночной стоимости, диагностику и услуги по определению технического состояния движимого имущества; 
затраты на  оказание услуг по проведению профосмотра сотрудников; 
затраты на оказание услуг по обучению сотрудников, повышение квалификации</t>
  </si>
  <si>
    <t>Затраты на приобретение транспортных средств</t>
  </si>
  <si>
    <t>2.6.3</t>
  </si>
  <si>
    <t>2.6.4</t>
  </si>
  <si>
    <t>2.6.5</t>
  </si>
  <si>
    <t>2.6.6</t>
  </si>
  <si>
    <t>2.6.7</t>
  </si>
  <si>
    <t>2.8.1</t>
  </si>
  <si>
    <t>2.8.2</t>
  </si>
  <si>
    <t>2.8.3</t>
  </si>
  <si>
    <t>2.8.4</t>
  </si>
  <si>
    <t>2.8.5</t>
  </si>
  <si>
    <t>2.8.6</t>
  </si>
  <si>
    <t>2.8.7</t>
  </si>
  <si>
    <t>2.8.8</t>
  </si>
  <si>
    <t>2.11</t>
  </si>
  <si>
    <t>2.15</t>
  </si>
  <si>
    <t>Нормативные прочие затраты (в том числе затраты на закупку товаров, работ и услуг 
в целях оказания государственных услуг (выполнения работ) и реализации государственных функций), не указанные в подпунктах «а» - «ж» пункта 6 Общих правил включают в себя: 
затраты на услуги связи; 
затраты на транспортные услуги; 
затраты на коммунальные услуги; 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
и оборудования, содержание имущества; затраты на приобретение основных средств; 
затраты на приобретение материальных запасов, не отнесенные к затратам, указанным 
в подпунктах «а» - «ж» пункта 6 Общих правил; 
иные прочие затраты, не отнесенные к иным затратам, указанным в подпунктах «а» - «ж» пункта 6 Общих правил</t>
  </si>
  <si>
    <r>
      <t>Нормативные</t>
    </r>
    <r>
      <rPr>
        <sz val="12"/>
        <color rgb="FF000001"/>
        <rFont val="Times New Roman"/>
        <family val="1"/>
        <charset val="204"/>
      </rPr>
      <t xml:space="preserve"> затраты</t>
    </r>
    <r>
      <rPr>
        <sz val="12"/>
        <color theme="1"/>
        <rFont val="Times New Roman"/>
        <family val="1"/>
        <charset val="204"/>
      </rPr>
      <t xml:space="preserve"> на услуги связи включают в себя: 
затраты на оплату услуг почтовой связи; 
затраты на оплату поставки маркированные конвертов, марок;
затраты на оплату услуг связи по  передаче данных между техническими средствами охраны 
и центральным пультом вневедомственной охраны</t>
    </r>
  </si>
  <si>
    <t>Затраты на оплату услуг связи 
по передаче данных между техническими средствами охраны 
и центральным пультом вневедомственной охраны</t>
  </si>
  <si>
    <t>Затраты на техническое обслуживание 
и ремонт транспортных средств</t>
  </si>
  <si>
    <t>Затраты на техническое обслуживание 
и ремонт иного оборудования</t>
  </si>
  <si>
    <r>
      <t xml:space="preserve">Затраты на техническое обслуживание 
и дооснащение </t>
    </r>
    <r>
      <rPr>
        <sz val="12"/>
        <color theme="1"/>
        <rFont val="Times New Roman"/>
        <family val="1"/>
        <charset val="204"/>
      </rPr>
      <t>комплексных систем обеспечения безопасности</t>
    </r>
  </si>
  <si>
    <t>Затраты на проведение предрейсового 
и послерейсового осмотра водителей автотранспортных средств</t>
  </si>
  <si>
    <t>НЗ бум = Чр  × ∑Нк бум i  ×  ∑Нц бум i, 
где: 
НЗ бум. – нормативные затраты на приобретение бумаги; 
Чр – расчетная численность работников; Нк бум i – планируемое к приобретению количество 
i-ого вида бумаги на одного работника; 
Нц бум i – норматив цены i-ого вида бумаги, определяемый в соответствии 
с положениями статьи 22 Закона  44-ФЗ и рассчитываемый в ценах на очередной финансовый год и на плановый период</t>
  </si>
  <si>
    <t xml:space="preserve">
где: 
НЗУВТ - нормативные затраты на уборку внутриквартальных территорий, входящих 
в состав земель общего пользования; 
Нц_УВТ_з_i - норматив цены уборки внутриквартальных территорий, входящих 
в состав земель общего пользования, i-го вида в зимний период; 
Пi - площадь внутриквартальных территорий, входящих в состав земель общего пользования, 
i-го вида; 
Нц_УВТ_л_i - норматив цены уборки внутриквартальных территорий, входящих 
в состав земель общего пользования, i-го вида в летний период</t>
  </si>
  <si>
    <t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
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учреждений, утвержденные постановлением Правительства 
Санкт-Петербурга от 28.04.2016 №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</si>
</sst>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justify" vertical="center"/>
    </xf>
    <xf numFmtId="49" fontId="1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46567</xdr:colOff>
      <xdr:row>47</xdr:row>
      <xdr:rowOff>179917</xdr:rowOff>
    </xdr:from>
    <xdr:to>
      <xdr:col>5</xdr:col>
      <xdr:colOff>2989791</xdr:colOff>
      <xdr:row>47</xdr:row>
      <xdr:rowOff>767292</xdr:rowOff>
    </xdr:to>
    <xdr:pic>
      <xdr:nvPicPr>
        <xdr:cNvPr id="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1117" y="39365767"/>
          <a:ext cx="2943224" cy="5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59266</xdr:colOff>
      <xdr:row>64</xdr:row>
      <xdr:rowOff>114301</xdr:rowOff>
    </xdr:from>
    <xdr:to>
      <xdr:col>5</xdr:col>
      <xdr:colOff>3678767</xdr:colOff>
      <xdr:row>64</xdr:row>
      <xdr:rowOff>389466</xdr:rowOff>
    </xdr:to>
    <xdr:pic>
      <xdr:nvPicPr>
        <xdr:cNvPr id="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3816" y="58693051"/>
          <a:ext cx="3619501" cy="275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topLeftCell="A64" zoomScale="75" zoomScaleNormal="75" zoomScaleSheetLayoutView="100" workbookViewId="0">
      <selection activeCell="J65" sqref="J65"/>
    </sheetView>
  </sheetViews>
  <sheetFormatPr defaultRowHeight="15.75" x14ac:dyDescent="0.25"/>
  <cols>
    <col min="1" max="1" width="8.28515625" style="1" customWidth="1"/>
    <col min="2" max="2" width="37.85546875" style="2" customWidth="1"/>
    <col min="3" max="3" width="14.140625" style="3" customWidth="1"/>
    <col min="4" max="4" width="14.42578125" style="3" customWidth="1"/>
    <col min="5" max="5" width="14.140625" style="3" customWidth="1"/>
    <col min="6" max="6" width="88.42578125" style="6" customWidth="1"/>
    <col min="7" max="16384" width="9.140625" style="3"/>
  </cols>
  <sheetData>
    <row r="1" spans="1:6" x14ac:dyDescent="0.25">
      <c r="F1" s="4" t="s">
        <v>0</v>
      </c>
    </row>
    <row r="2" spans="1:6" x14ac:dyDescent="0.25">
      <c r="F2" s="4" t="s">
        <v>1</v>
      </c>
    </row>
    <row r="3" spans="1:6" x14ac:dyDescent="0.25">
      <c r="F3" s="4" t="s">
        <v>2</v>
      </c>
    </row>
    <row r="4" spans="1:6" x14ac:dyDescent="0.25">
      <c r="F4" s="4" t="s">
        <v>3</v>
      </c>
    </row>
    <row r="5" spans="1:6" x14ac:dyDescent="0.25">
      <c r="A5" s="5"/>
    </row>
    <row r="6" spans="1:6" x14ac:dyDescent="0.25">
      <c r="A6" s="5"/>
    </row>
    <row r="7" spans="1:6" x14ac:dyDescent="0.25">
      <c r="A7" s="21" t="s">
        <v>4</v>
      </c>
      <c r="B7" s="21"/>
      <c r="C7" s="21"/>
      <c r="D7" s="21"/>
      <c r="E7" s="21"/>
      <c r="F7" s="21"/>
    </row>
    <row r="8" spans="1:6" x14ac:dyDescent="0.25">
      <c r="A8" s="21" t="s">
        <v>5</v>
      </c>
      <c r="B8" s="21"/>
      <c r="C8" s="21"/>
      <c r="D8" s="21"/>
      <c r="E8" s="21"/>
      <c r="F8" s="21"/>
    </row>
    <row r="9" spans="1:6" x14ac:dyDescent="0.25">
      <c r="A9" s="21" t="s">
        <v>116</v>
      </c>
      <c r="B9" s="21"/>
      <c r="C9" s="21"/>
      <c r="D9" s="21"/>
      <c r="E9" s="21"/>
      <c r="F9" s="21"/>
    </row>
    <row r="10" spans="1:6" ht="14.25" customHeight="1" x14ac:dyDescent="0.25">
      <c r="A10" s="5"/>
    </row>
    <row r="11" spans="1:6" s="7" customFormat="1" ht="35.25" customHeight="1" x14ac:dyDescent="0.25">
      <c r="A11" s="22" t="s">
        <v>6</v>
      </c>
      <c r="B11" s="24" t="s">
        <v>7</v>
      </c>
      <c r="C11" s="25" t="s">
        <v>8</v>
      </c>
      <c r="D11" s="26"/>
      <c r="E11" s="27"/>
      <c r="F11" s="24" t="s">
        <v>9</v>
      </c>
    </row>
    <row r="12" spans="1:6" s="7" customFormat="1" x14ac:dyDescent="0.25">
      <c r="A12" s="23"/>
      <c r="B12" s="24"/>
      <c r="C12" s="15" t="s">
        <v>10</v>
      </c>
      <c r="D12" s="15" t="s">
        <v>11</v>
      </c>
      <c r="E12" s="15" t="s">
        <v>12</v>
      </c>
      <c r="F12" s="24"/>
    </row>
    <row r="13" spans="1:6" x14ac:dyDescent="0.25">
      <c r="A13" s="8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</row>
    <row r="14" spans="1:6" ht="66.75" customHeight="1" x14ac:dyDescent="0.25">
      <c r="A14" s="10" t="s">
        <v>13</v>
      </c>
      <c r="B14" s="11" t="s">
        <v>14</v>
      </c>
      <c r="C14" s="16">
        <f>C15+C17</f>
        <v>3344999.14322</v>
      </c>
      <c r="D14" s="16">
        <f>D15+D17</f>
        <v>3507900.6014948143</v>
      </c>
      <c r="E14" s="16">
        <f>E15+E17</f>
        <v>3668211.6589831291</v>
      </c>
      <c r="F14" s="12" t="s">
        <v>15</v>
      </c>
    </row>
    <row r="15" spans="1:6" ht="39" customHeight="1" x14ac:dyDescent="0.25">
      <c r="A15" s="10" t="s">
        <v>16</v>
      </c>
      <c r="B15" s="12" t="s">
        <v>17</v>
      </c>
      <c r="C15" s="16">
        <f>C16</f>
        <v>218765.64780000001</v>
      </c>
      <c r="D15" s="16">
        <f>D16</f>
        <v>229419.53484785999</v>
      </c>
      <c r="E15" s="16">
        <f>E16</f>
        <v>239904.00759040721</v>
      </c>
      <c r="F15" s="12" t="s">
        <v>18</v>
      </c>
    </row>
    <row r="16" spans="1:6" ht="51" customHeight="1" x14ac:dyDescent="0.25">
      <c r="A16" s="10" t="s">
        <v>19</v>
      </c>
      <c r="B16" s="11" t="s">
        <v>20</v>
      </c>
      <c r="C16" s="16">
        <f>202149*1.0822</f>
        <v>218765.64780000001</v>
      </c>
      <c r="D16" s="16">
        <f>218765.6478*1.0487</f>
        <v>229419.53484785999</v>
      </c>
      <c r="E16" s="16">
        <f>229419.53484786*1.0457</f>
        <v>239904.00759040721</v>
      </c>
      <c r="F16" s="12" t="s">
        <v>21</v>
      </c>
    </row>
    <row r="17" spans="1:6" ht="99.75" customHeight="1" x14ac:dyDescent="0.25">
      <c r="A17" s="10" t="s">
        <v>22</v>
      </c>
      <c r="B17" s="12" t="s">
        <v>23</v>
      </c>
      <c r="C17" s="16">
        <f>C18+C19</f>
        <v>3126233.4954200001</v>
      </c>
      <c r="D17" s="16">
        <f>D18+D19</f>
        <v>3278481.066646954</v>
      </c>
      <c r="E17" s="16">
        <f>E18+E19</f>
        <v>3428307.651392722</v>
      </c>
      <c r="F17" s="12" t="s">
        <v>24</v>
      </c>
    </row>
    <row r="18" spans="1:6" ht="131.25" customHeight="1" x14ac:dyDescent="0.25">
      <c r="A18" s="10" t="s">
        <v>25</v>
      </c>
      <c r="B18" s="12" t="s">
        <v>26</v>
      </c>
      <c r="C18" s="16">
        <f>274137*1.0822</f>
        <v>296671.06140000001</v>
      </c>
      <c r="D18" s="16">
        <f>296671.0614*1.0487</f>
        <v>311118.94209018</v>
      </c>
      <c r="E18" s="16">
        <f>311118.94209018*1.0457</f>
        <v>325337.07774370123</v>
      </c>
      <c r="F18" s="11" t="s">
        <v>27</v>
      </c>
    </row>
    <row r="19" spans="1:6" ht="112.5" customHeight="1" x14ac:dyDescent="0.25">
      <c r="A19" s="10" t="s">
        <v>28</v>
      </c>
      <c r="B19" s="12" t="s">
        <v>29</v>
      </c>
      <c r="C19" s="16">
        <f>C20+C21+C22+C23</f>
        <v>2829562.43402</v>
      </c>
      <c r="D19" s="16">
        <f>D20+D21+D22+D23</f>
        <v>2967362.1245567738</v>
      </c>
      <c r="E19" s="16">
        <f>E20+E21+E22+E23</f>
        <v>3102970.5736490209</v>
      </c>
      <c r="F19" s="12" t="s">
        <v>30</v>
      </c>
    </row>
    <row r="20" spans="1:6" ht="156" customHeight="1" x14ac:dyDescent="0.25">
      <c r="A20" s="10" t="s">
        <v>31</v>
      </c>
      <c r="B20" s="12" t="s">
        <v>32</v>
      </c>
      <c r="C20" s="16">
        <f>1122014.7*1.0822</f>
        <v>1214244.30834</v>
      </c>
      <c r="D20" s="16">
        <f>1214244.30834*1.0487</f>
        <v>1273378.0061561579</v>
      </c>
      <c r="E20" s="16">
        <f>1273378.00615616*1.0457</f>
        <v>1331571.3810374967</v>
      </c>
      <c r="F20" s="12" t="s">
        <v>33</v>
      </c>
    </row>
    <row r="21" spans="1:6" ht="108" customHeight="1" x14ac:dyDescent="0.25">
      <c r="A21" s="10" t="s">
        <v>34</v>
      </c>
      <c r="B21" s="12" t="s">
        <v>35</v>
      </c>
      <c r="C21" s="16">
        <f>130939.2*1.0822</f>
        <v>141702.40224</v>
      </c>
      <c r="D21" s="16">
        <f>141702.40224*1.0487</f>
        <v>148603.30922908799</v>
      </c>
      <c r="E21" s="16">
        <f>148603.309229088*1.0457</f>
        <v>155394.48046085733</v>
      </c>
      <c r="F21" s="12" t="s">
        <v>36</v>
      </c>
    </row>
    <row r="22" spans="1:6" ht="144.75" customHeight="1" x14ac:dyDescent="0.25">
      <c r="A22" s="10" t="s">
        <v>37</v>
      </c>
      <c r="B22" s="12" t="s">
        <v>38</v>
      </c>
      <c r="C22" s="16">
        <f>28405.2*1.0822</f>
        <v>30740.107440000003</v>
      </c>
      <c r="D22" s="16">
        <f>30740.10744*1.0487</f>
        <v>32237.150672328</v>
      </c>
      <c r="E22" s="16">
        <f>32237.150672328*1.0457</f>
        <v>33710.388458053392</v>
      </c>
      <c r="F22" s="11" t="s">
        <v>39</v>
      </c>
    </row>
    <row r="23" spans="1:6" ht="49.5" customHeight="1" x14ac:dyDescent="0.25">
      <c r="A23" s="10" t="s">
        <v>40</v>
      </c>
      <c r="B23" s="12" t="s">
        <v>41</v>
      </c>
      <c r="C23" s="16">
        <f>1333280*1.0822</f>
        <v>1442875.6160000002</v>
      </c>
      <c r="D23" s="16">
        <f>1442875.616*1.0487</f>
        <v>1513143.6584991999</v>
      </c>
      <c r="E23" s="16">
        <f>1513143.6584992*1.0457</f>
        <v>1582294.3236926135</v>
      </c>
      <c r="F23" s="12" t="s">
        <v>42</v>
      </c>
    </row>
    <row r="24" spans="1:6" ht="287.25" customHeight="1" x14ac:dyDescent="0.25">
      <c r="A24" s="10" t="s">
        <v>43</v>
      </c>
      <c r="B24" s="13" t="s">
        <v>44</v>
      </c>
      <c r="C24" s="16">
        <f>C25+C29+C31+C32+C39+C47+C50+C59+C60+C61+C62+C63+C64+C65+C38</f>
        <v>807617738.93731391</v>
      </c>
      <c r="D24" s="16">
        <f t="shared" ref="D24:E24" si="0">D25+D29+D31+D32+D39+D47+D50+D59+D60+D61+D62+D63+D64+D65+D38</f>
        <v>666688572.47039866</v>
      </c>
      <c r="E24" s="16">
        <f t="shared" si="0"/>
        <v>692416516.844221</v>
      </c>
      <c r="F24" s="12" t="s">
        <v>135</v>
      </c>
    </row>
    <row r="25" spans="1:6" ht="108.75" customHeight="1" x14ac:dyDescent="0.25">
      <c r="A25" s="10" t="s">
        <v>45</v>
      </c>
      <c r="B25" s="13" t="s">
        <v>46</v>
      </c>
      <c r="C25" s="16">
        <f>C26+C27+C28</f>
        <v>348691.54964000004</v>
      </c>
      <c r="D25" s="16">
        <f>D26+D27+D28</f>
        <v>365672.82810746797</v>
      </c>
      <c r="E25" s="16">
        <f>E26+E27+E28</f>
        <v>382384.07635197934</v>
      </c>
      <c r="F25" s="12" t="s">
        <v>136</v>
      </c>
    </row>
    <row r="26" spans="1:6" ht="36" customHeight="1" x14ac:dyDescent="0.25">
      <c r="A26" s="10" t="s">
        <v>47</v>
      </c>
      <c r="B26" s="13" t="s">
        <v>48</v>
      </c>
      <c r="C26" s="16">
        <f>115248*1.0822</f>
        <v>124721.38560000001</v>
      </c>
      <c r="D26" s="16">
        <f>124721.3856*1.0487</f>
        <v>130795.31707871999</v>
      </c>
      <c r="E26" s="16">
        <f>130795.31707872*1.0457</f>
        <v>136772.66306921752</v>
      </c>
      <c r="F26" s="12" t="s">
        <v>21</v>
      </c>
    </row>
    <row r="27" spans="1:6" ht="44.25" customHeight="1" x14ac:dyDescent="0.25">
      <c r="A27" s="10" t="s">
        <v>49</v>
      </c>
      <c r="B27" s="13" t="s">
        <v>50</v>
      </c>
      <c r="C27" s="16">
        <f>188240*1.0822</f>
        <v>203713.32800000001</v>
      </c>
      <c r="D27" s="16">
        <f>203713.328*1.0487</f>
        <v>213634.16707359999</v>
      </c>
      <c r="E27" s="16">
        <f>213634.1670736*1.0457</f>
        <v>223397.24850886353</v>
      </c>
      <c r="F27" s="12" t="s">
        <v>21</v>
      </c>
    </row>
    <row r="28" spans="1:6" ht="81.75" customHeight="1" x14ac:dyDescent="0.25">
      <c r="A28" s="10" t="s">
        <v>51</v>
      </c>
      <c r="B28" s="13" t="s">
        <v>137</v>
      </c>
      <c r="C28" s="16">
        <f>18718.2*1.0822</f>
        <v>20256.836040000002</v>
      </c>
      <c r="D28" s="16">
        <f>20256.83604*1.0487</f>
        <v>21243.343955147997</v>
      </c>
      <c r="E28" s="16">
        <f>21243.343955148*1.0457</f>
        <v>22214.164773898265</v>
      </c>
      <c r="F28" s="12" t="s">
        <v>21</v>
      </c>
    </row>
    <row r="29" spans="1:6" ht="36.75" customHeight="1" x14ac:dyDescent="0.25">
      <c r="A29" s="10" t="s">
        <v>52</v>
      </c>
      <c r="B29" s="13" t="s">
        <v>53</v>
      </c>
      <c r="C29" s="16">
        <f>C30</f>
        <v>207573.75184000001</v>
      </c>
      <c r="D29" s="16">
        <f>D30</f>
        <v>217682.593554608</v>
      </c>
      <c r="E29" s="16">
        <f>E30</f>
        <v>227630.6880800536</v>
      </c>
      <c r="F29" s="12" t="s">
        <v>54</v>
      </c>
    </row>
    <row r="30" spans="1:6" ht="95.25" customHeight="1" x14ac:dyDescent="0.25">
      <c r="A30" s="10" t="s">
        <v>55</v>
      </c>
      <c r="B30" s="13" t="s">
        <v>56</v>
      </c>
      <c r="C30" s="16">
        <f>191807.2*1.0822</f>
        <v>207573.75184000001</v>
      </c>
      <c r="D30" s="16">
        <f>207573.75184*1.0487</f>
        <v>217682.593554608</v>
      </c>
      <c r="E30" s="16">
        <f>217682.593554608*1.0457</f>
        <v>227630.6880800536</v>
      </c>
      <c r="F30" s="12" t="s">
        <v>21</v>
      </c>
    </row>
    <row r="31" spans="1:6" ht="84" customHeight="1" x14ac:dyDescent="0.25">
      <c r="A31" s="10" t="s">
        <v>57</v>
      </c>
      <c r="B31" s="13" t="s">
        <v>58</v>
      </c>
      <c r="C31" s="16">
        <f>1190650*1.0822</f>
        <v>1288521.4300000002</v>
      </c>
      <c r="D31" s="16">
        <f>1288521.43*1.0487</f>
        <v>1351272.4236409999</v>
      </c>
      <c r="E31" s="16">
        <f>1351272.423641*1.0457</f>
        <v>1413025.5734013938</v>
      </c>
      <c r="F31" s="12" t="s">
        <v>59</v>
      </c>
    </row>
    <row r="32" spans="1:6" ht="85.5" customHeight="1" x14ac:dyDescent="0.25">
      <c r="A32" s="10" t="s">
        <v>60</v>
      </c>
      <c r="B32" s="13" t="s">
        <v>17</v>
      </c>
      <c r="C32" s="16">
        <f>C33+C35+C36+C34</f>
        <v>37647867.047546871</v>
      </c>
      <c r="D32" s="16">
        <f t="shared" ref="D32:E32" si="1">D33+D35+D36+D34</f>
        <v>3804157.7252555341</v>
      </c>
      <c r="E32" s="16">
        <f t="shared" si="1"/>
        <v>2528544.1766811768</v>
      </c>
      <c r="F32" s="12" t="s">
        <v>61</v>
      </c>
    </row>
    <row r="33" spans="1:6" ht="48.75" customHeight="1" x14ac:dyDescent="0.25">
      <c r="A33" s="10" t="s">
        <v>62</v>
      </c>
      <c r="B33" s="13" t="s">
        <v>63</v>
      </c>
      <c r="C33" s="16">
        <f>501310.7288*1.0515+100000</f>
        <v>627128.2313332</v>
      </c>
      <c r="D33" s="16">
        <f>527128.2313332*1.0515+100000</f>
        <v>654275.33524685982</v>
      </c>
      <c r="E33" s="16">
        <f>554275.33524686*1.0515+100000</f>
        <v>682820.51501207345</v>
      </c>
      <c r="F33" s="12" t="s">
        <v>64</v>
      </c>
    </row>
    <row r="34" spans="1:6" ht="48.75" customHeight="1" x14ac:dyDescent="0.25">
      <c r="A34" s="10" t="s">
        <v>65</v>
      </c>
      <c r="B34" s="13" t="s">
        <v>66</v>
      </c>
      <c r="C34" s="16">
        <v>35454496</v>
      </c>
      <c r="D34" s="16">
        <v>0</v>
      </c>
      <c r="E34" s="16">
        <v>0</v>
      </c>
      <c r="F34" s="12" t="s">
        <v>21</v>
      </c>
    </row>
    <row r="35" spans="1:6" ht="48" customHeight="1" x14ac:dyDescent="0.25">
      <c r="A35" s="10" t="s">
        <v>67</v>
      </c>
      <c r="B35" s="13" t="s">
        <v>138</v>
      </c>
      <c r="C35" s="16">
        <f>840033.2998*1.0515*1.1</f>
        <v>971624.51621367026</v>
      </c>
      <c r="D35" s="16">
        <f>883295.0147397*1.0515*1.1</f>
        <v>1021663.1787986741</v>
      </c>
      <c r="E35" s="16">
        <f>928784.707998795*1.0515*1.1</f>
        <v>1074278.8325068064</v>
      </c>
      <c r="F35" s="12" t="s">
        <v>64</v>
      </c>
    </row>
    <row r="36" spans="1:6" ht="54" customHeight="1" x14ac:dyDescent="0.25">
      <c r="A36" s="10" t="s">
        <v>68</v>
      </c>
      <c r="B36" s="13" t="s">
        <v>139</v>
      </c>
      <c r="C36" s="16">
        <f>C37</f>
        <v>594618.30000000005</v>
      </c>
      <c r="D36" s="16">
        <f>D37</f>
        <v>2128219.2112099999</v>
      </c>
      <c r="E36" s="16">
        <f>E37</f>
        <v>771444.82916229707</v>
      </c>
      <c r="F36" s="14" t="s">
        <v>69</v>
      </c>
    </row>
    <row r="37" spans="1:6" ht="57.75" customHeight="1" x14ac:dyDescent="0.25">
      <c r="A37" s="10" t="s">
        <v>70</v>
      </c>
      <c r="B37" s="13" t="s">
        <v>140</v>
      </c>
      <c r="C37" s="16">
        <f>484618.3+110000</f>
        <v>594618.30000000005</v>
      </c>
      <c r="D37" s="16">
        <f>484618.3*1.0487+1500000+120000</f>
        <v>2128219.2112099999</v>
      </c>
      <c r="E37" s="16">
        <f>508219.21121*1.0457+120000+120000</f>
        <v>771444.82916229707</v>
      </c>
      <c r="F37" s="12" t="s">
        <v>21</v>
      </c>
    </row>
    <row r="38" spans="1:6" ht="43.5" customHeight="1" x14ac:dyDescent="0.25">
      <c r="A38" s="10" t="s">
        <v>71</v>
      </c>
      <c r="B38" s="13" t="s">
        <v>119</v>
      </c>
      <c r="C38" s="16">
        <v>3500000</v>
      </c>
      <c r="D38" s="16">
        <v>0</v>
      </c>
      <c r="E38" s="16">
        <v>0</v>
      </c>
      <c r="F38" s="12" t="s">
        <v>21</v>
      </c>
    </row>
    <row r="39" spans="1:6" ht="259.5" customHeight="1" x14ac:dyDescent="0.25">
      <c r="A39" s="10" t="s">
        <v>78</v>
      </c>
      <c r="B39" s="13" t="s">
        <v>72</v>
      </c>
      <c r="C39" s="16">
        <f>C40+C41+C42+C43+C44+C45+C46</f>
        <v>1479894.3055760001</v>
      </c>
      <c r="D39" s="16">
        <f>D40+D41+D42+D43+D44+D45+D46</f>
        <v>1553452.3454079959</v>
      </c>
      <c r="E39" s="16">
        <f>E40+E41+E42+E43+E44+E45+E46</f>
        <v>1626687.5712482906</v>
      </c>
      <c r="F39" s="12" t="s">
        <v>118</v>
      </c>
    </row>
    <row r="40" spans="1:6" ht="56.25" customHeight="1" x14ac:dyDescent="0.25">
      <c r="A40" s="10" t="s">
        <v>81</v>
      </c>
      <c r="B40" s="13" t="s">
        <v>73</v>
      </c>
      <c r="C40" s="16">
        <f>356400*1.0822</f>
        <v>385696.08</v>
      </c>
      <c r="D40" s="16">
        <f>385696.08*1.0487</f>
        <v>404479.47909600002</v>
      </c>
      <c r="E40" s="16">
        <f>404479.479096*1.0457</f>
        <v>422964.19129068725</v>
      </c>
      <c r="F40" s="12" t="s">
        <v>21</v>
      </c>
    </row>
    <row r="41" spans="1:6" ht="74.25" customHeight="1" x14ac:dyDescent="0.25">
      <c r="A41" s="10" t="s">
        <v>84</v>
      </c>
      <c r="B41" s="13" t="s">
        <v>74</v>
      </c>
      <c r="C41" s="16">
        <f>64229.7*1.0822+22000</f>
        <v>91509.381340000007</v>
      </c>
      <c r="D41" s="16">
        <f>69509.38134*1.0487+22000</f>
        <v>94894.488211258009</v>
      </c>
      <c r="E41" s="16">
        <f>72894.488211258*1.0457+22000</f>
        <v>98225.766322512485</v>
      </c>
      <c r="F41" s="12" t="s">
        <v>42</v>
      </c>
    </row>
    <row r="42" spans="1:6" ht="72" customHeight="1" x14ac:dyDescent="0.25">
      <c r="A42" s="10" t="s">
        <v>120</v>
      </c>
      <c r="B42" s="13" t="s">
        <v>141</v>
      </c>
      <c r="C42" s="16">
        <f>206940.1*1.0822</f>
        <v>223950.57622000002</v>
      </c>
      <c r="D42" s="16">
        <f>223950.57622*1.0487</f>
        <v>234856.96928191397</v>
      </c>
      <c r="E42" s="16">
        <f>234856.969281914*1.0457</f>
        <v>245589.93277809749</v>
      </c>
      <c r="F42" s="12" t="s">
        <v>42</v>
      </c>
    </row>
    <row r="43" spans="1:6" ht="104.25" customHeight="1" x14ac:dyDescent="0.25">
      <c r="A43" s="10" t="s">
        <v>121</v>
      </c>
      <c r="B43" s="13" t="s">
        <v>117</v>
      </c>
      <c r="C43" s="16">
        <v>32700</v>
      </c>
      <c r="D43" s="16">
        <f>C43*1.0915</f>
        <v>35692.049999999996</v>
      </c>
      <c r="E43" s="16">
        <f>35692.05*1.0915</f>
        <v>38957.872575000001</v>
      </c>
      <c r="F43" s="12" t="s">
        <v>42</v>
      </c>
    </row>
    <row r="44" spans="1:6" ht="87" customHeight="1" x14ac:dyDescent="0.25">
      <c r="A44" s="10" t="s">
        <v>122</v>
      </c>
      <c r="B44" s="13" t="s">
        <v>75</v>
      </c>
      <c r="C44" s="16">
        <v>290500</v>
      </c>
      <c r="D44" s="16">
        <f>290500*1.0487</f>
        <v>304647.34999999998</v>
      </c>
      <c r="E44" s="16">
        <f>303775.85*1.0457</f>
        <v>317658.40634500002</v>
      </c>
      <c r="F44" s="12" t="s">
        <v>64</v>
      </c>
    </row>
    <row r="45" spans="1:6" ht="59.25" customHeight="1" x14ac:dyDescent="0.25">
      <c r="A45" s="10" t="s">
        <v>123</v>
      </c>
      <c r="B45" s="13" t="s">
        <v>76</v>
      </c>
      <c r="C45" s="16">
        <v>41600</v>
      </c>
      <c r="D45" s="16">
        <f>41600*1.0487</f>
        <v>43625.919999999998</v>
      </c>
      <c r="E45" s="16">
        <f>43625.92*1.0457</f>
        <v>45619.624543999998</v>
      </c>
      <c r="F45" s="12" t="s">
        <v>64</v>
      </c>
    </row>
    <row r="46" spans="1:6" ht="52.5" customHeight="1" x14ac:dyDescent="0.25">
      <c r="A46" s="10" t="s">
        <v>124</v>
      </c>
      <c r="B46" s="13" t="s">
        <v>77</v>
      </c>
      <c r="C46" s="16">
        <f>393664.544*1.0515</f>
        <v>413938.26801600005</v>
      </c>
      <c r="D46" s="16">
        <f>413938.268016*1.0515</f>
        <v>435256.08881882404</v>
      </c>
      <c r="E46" s="16">
        <f>435256.088818824*1.0515</f>
        <v>457671.77739299345</v>
      </c>
      <c r="F46" s="12" t="s">
        <v>64</v>
      </c>
    </row>
    <row r="47" spans="1:6" ht="54.75" customHeight="1" x14ac:dyDescent="0.25">
      <c r="A47" s="10" t="s">
        <v>86</v>
      </c>
      <c r="B47" s="13" t="s">
        <v>79</v>
      </c>
      <c r="C47" s="16">
        <f>C48+C49</f>
        <v>1379717.5</v>
      </c>
      <c r="D47" s="16">
        <f>D48+D49</f>
        <v>1465041.55</v>
      </c>
      <c r="E47" s="16">
        <f>E48+E49</f>
        <v>1553174.9223249999</v>
      </c>
      <c r="F47" s="12" t="s">
        <v>80</v>
      </c>
    </row>
    <row r="48" spans="1:6" ht="168" customHeight="1" x14ac:dyDescent="0.25">
      <c r="A48" s="10" t="s">
        <v>89</v>
      </c>
      <c r="B48" s="13" t="s">
        <v>82</v>
      </c>
      <c r="C48" s="16">
        <v>956017.5</v>
      </c>
      <c r="D48" s="16">
        <v>1002573</v>
      </c>
      <c r="E48" s="16">
        <v>1048390.5</v>
      </c>
      <c r="F48" s="12" t="s">
        <v>83</v>
      </c>
    </row>
    <row r="49" spans="1:6" ht="57" customHeight="1" x14ac:dyDescent="0.25">
      <c r="A49" s="10" t="s">
        <v>91</v>
      </c>
      <c r="B49" s="13" t="s">
        <v>85</v>
      </c>
      <c r="C49" s="16">
        <v>423700</v>
      </c>
      <c r="D49" s="16">
        <f>423700*1.0915</f>
        <v>462468.55</v>
      </c>
      <c r="E49" s="16">
        <f>462468.55*1.0915</f>
        <v>504784.42232499993</v>
      </c>
      <c r="F49" s="12" t="s">
        <v>64</v>
      </c>
    </row>
    <row r="50" spans="1:6" ht="184.5" customHeight="1" x14ac:dyDescent="0.25">
      <c r="A50" s="10" t="s">
        <v>102</v>
      </c>
      <c r="B50" s="13" t="s">
        <v>87</v>
      </c>
      <c r="C50" s="16">
        <f>C51+C52+C53+C54+C55+C56+C57+C58</f>
        <v>5506789.482413712</v>
      </c>
      <c r="D50" s="16">
        <f>D51+D52+D53+D54+D55+D56+D57+D58</f>
        <v>5789266.4358122963</v>
      </c>
      <c r="E50" s="16">
        <f>E51+E52+E53+E54+E55+E56+E57+E58</f>
        <v>6077302.8636509618</v>
      </c>
      <c r="F50" s="12" t="s">
        <v>88</v>
      </c>
    </row>
    <row r="51" spans="1:6" ht="59.25" customHeight="1" x14ac:dyDescent="0.25">
      <c r="A51" s="10" t="s">
        <v>125</v>
      </c>
      <c r="B51" s="13" t="s">
        <v>90</v>
      </c>
      <c r="C51" s="16">
        <f>72879.5*1.0822</f>
        <v>78870.194900000002</v>
      </c>
      <c r="D51" s="16">
        <f>78870.1949*1.0487</f>
        <v>82711.17339163</v>
      </c>
      <c r="E51" s="16">
        <f>82711.17339163*1.0457</f>
        <v>86491.074015627499</v>
      </c>
      <c r="F51" s="12" t="s">
        <v>64</v>
      </c>
    </row>
    <row r="52" spans="1:6" ht="73.5" customHeight="1" x14ac:dyDescent="0.25">
      <c r="A52" s="10" t="s">
        <v>126</v>
      </c>
      <c r="B52" s="13" t="s">
        <v>92</v>
      </c>
      <c r="C52" s="16">
        <v>2084564</v>
      </c>
      <c r="D52" s="16">
        <v>2186120</v>
      </c>
      <c r="E52" s="16">
        <v>2286064</v>
      </c>
      <c r="F52" s="12" t="s">
        <v>93</v>
      </c>
    </row>
    <row r="53" spans="1:6" ht="150" customHeight="1" x14ac:dyDescent="0.25">
      <c r="A53" s="10" t="s">
        <v>127</v>
      </c>
      <c r="B53" s="13" t="s">
        <v>94</v>
      </c>
      <c r="C53" s="16">
        <v>1206100</v>
      </c>
      <c r="D53" s="16">
        <f>C53*1.0515</f>
        <v>1268214.1500000001</v>
      </c>
      <c r="E53" s="16">
        <f>1268214.15*1.0515</f>
        <v>1333527.178725</v>
      </c>
      <c r="F53" s="11" t="s">
        <v>142</v>
      </c>
    </row>
    <row r="54" spans="1:6" ht="126.75" customHeight="1" x14ac:dyDescent="0.25">
      <c r="A54" s="10" t="s">
        <v>128</v>
      </c>
      <c r="B54" s="13" t="s">
        <v>95</v>
      </c>
      <c r="C54" s="16">
        <v>386841.59999999998</v>
      </c>
      <c r="D54" s="16">
        <v>411019.19999999995</v>
      </c>
      <c r="E54" s="16">
        <v>435196.8</v>
      </c>
      <c r="F54" s="12" t="s">
        <v>96</v>
      </c>
    </row>
    <row r="55" spans="1:6" ht="53.25" customHeight="1" x14ac:dyDescent="0.25">
      <c r="A55" s="10" t="s">
        <v>129</v>
      </c>
      <c r="B55" s="13" t="s">
        <v>97</v>
      </c>
      <c r="C55" s="16">
        <f>1369296.530208*1.0515</f>
        <v>1439815.3015137122</v>
      </c>
      <c r="D55" s="16">
        <f>1439815.30151371*1.0515</f>
        <v>1513965.7895416662</v>
      </c>
      <c r="E55" s="16">
        <f>1513965.78954167*1.0515</f>
        <v>1591935.0277030661</v>
      </c>
      <c r="F55" s="12" t="s">
        <v>21</v>
      </c>
    </row>
    <row r="56" spans="1:6" ht="57" customHeight="1" x14ac:dyDescent="0.25">
      <c r="A56" s="10" t="s">
        <v>130</v>
      </c>
      <c r="B56" s="13" t="s">
        <v>98</v>
      </c>
      <c r="C56" s="16">
        <f>194688*1.0515</f>
        <v>204714.43200000003</v>
      </c>
      <c r="D56" s="16">
        <f>204714.432*1.0515</f>
        <v>215257.22524800003</v>
      </c>
      <c r="E56" s="16">
        <f>215257.225248*1.0515</f>
        <v>226342.97234827201</v>
      </c>
      <c r="F56" s="12" t="s">
        <v>99</v>
      </c>
    </row>
    <row r="57" spans="1:6" ht="63" customHeight="1" x14ac:dyDescent="0.25">
      <c r="A57" s="10" t="s">
        <v>131</v>
      </c>
      <c r="B57" s="13" t="s">
        <v>100</v>
      </c>
      <c r="C57" s="16">
        <f>85436*1.0515</f>
        <v>89835.954000000012</v>
      </c>
      <c r="D57" s="16">
        <f>89835.954*1.0515</f>
        <v>94462.505631000007</v>
      </c>
      <c r="E57" s="16">
        <f>94462.505631*1.0515</f>
        <v>99327.324670996517</v>
      </c>
      <c r="F57" s="12" t="s">
        <v>99</v>
      </c>
    </row>
    <row r="58" spans="1:6" ht="45" customHeight="1" x14ac:dyDescent="0.25">
      <c r="A58" s="10" t="s">
        <v>132</v>
      </c>
      <c r="B58" s="13" t="s">
        <v>101</v>
      </c>
      <c r="C58" s="16">
        <v>16048</v>
      </c>
      <c r="D58" s="16">
        <f>16048*1.0915</f>
        <v>17516.392</v>
      </c>
      <c r="E58" s="16">
        <f>17516.392*1.0515</f>
        <v>18418.486188000003</v>
      </c>
      <c r="F58" s="12" t="s">
        <v>99</v>
      </c>
    </row>
    <row r="59" spans="1:6" ht="76.5" customHeight="1" x14ac:dyDescent="0.25">
      <c r="A59" s="10" t="s">
        <v>104</v>
      </c>
      <c r="B59" s="13" t="s">
        <v>103</v>
      </c>
      <c r="C59" s="16">
        <v>35000000</v>
      </c>
      <c r="D59" s="16">
        <v>35000000</v>
      </c>
      <c r="E59" s="16">
        <v>35000000</v>
      </c>
      <c r="F59" s="12" t="s">
        <v>99</v>
      </c>
    </row>
    <row r="60" spans="1:6" ht="93.75" customHeight="1" x14ac:dyDescent="0.25">
      <c r="A60" s="10" t="s">
        <v>106</v>
      </c>
      <c r="B60" s="13" t="s">
        <v>105</v>
      </c>
      <c r="C60" s="17">
        <f>131906572.49448*1.0515+10000000</f>
        <v>148699760.97794574</v>
      </c>
      <c r="D60" s="16">
        <f>138699760.977946*1.0515+10000000</f>
        <v>155842798.66831025</v>
      </c>
      <c r="E60" s="16">
        <f>145842798.66831*1.0515+10000000</f>
        <v>163353702.79972798</v>
      </c>
      <c r="F60" s="12" t="s">
        <v>99</v>
      </c>
    </row>
    <row r="61" spans="1:6" ht="70.5" customHeight="1" x14ac:dyDescent="0.25">
      <c r="A61" s="10" t="s">
        <v>133</v>
      </c>
      <c r="B61" s="13" t="s">
        <v>107</v>
      </c>
      <c r="C61" s="17">
        <f>90426756.50744*1.0822+10000000</f>
        <v>107859835.89235157</v>
      </c>
      <c r="D61" s="16">
        <f>107859835.892352*1.0487</f>
        <v>113112609.90030953</v>
      </c>
      <c r="E61" s="16">
        <f>113112609.90031*1.0457</f>
        <v>118281856.17275417</v>
      </c>
      <c r="F61" s="12" t="s">
        <v>99</v>
      </c>
    </row>
    <row r="62" spans="1:6" ht="87.75" customHeight="1" x14ac:dyDescent="0.25">
      <c r="A62" s="10" t="s">
        <v>109</v>
      </c>
      <c r="B62" s="11" t="s">
        <v>108</v>
      </c>
      <c r="C62" s="16">
        <v>118384800</v>
      </c>
      <c r="D62" s="16">
        <v>67364100</v>
      </c>
      <c r="E62" s="16">
        <v>69817700</v>
      </c>
      <c r="F62" s="12" t="s">
        <v>99</v>
      </c>
    </row>
    <row r="63" spans="1:6" ht="73.5" customHeight="1" x14ac:dyDescent="0.25">
      <c r="A63" s="10" t="s">
        <v>111</v>
      </c>
      <c r="B63" s="11" t="s">
        <v>110</v>
      </c>
      <c r="C63" s="16">
        <v>92000000</v>
      </c>
      <c r="D63" s="16">
        <v>15000000</v>
      </c>
      <c r="E63" s="16">
        <v>15000000</v>
      </c>
      <c r="F63" s="12" t="s">
        <v>99</v>
      </c>
    </row>
    <row r="64" spans="1:6" ht="101.25" customHeight="1" x14ac:dyDescent="0.25">
      <c r="A64" s="10" t="s">
        <v>113</v>
      </c>
      <c r="B64" s="11" t="s">
        <v>112</v>
      </c>
      <c r="C64" s="16">
        <v>18000000</v>
      </c>
      <c r="D64" s="16">
        <v>18000000</v>
      </c>
      <c r="E64" s="16">
        <v>18000000</v>
      </c>
      <c r="F64" s="12" t="s">
        <v>99</v>
      </c>
    </row>
    <row r="65" spans="1:10" ht="205.5" customHeight="1" x14ac:dyDescent="0.25">
      <c r="A65" s="10" t="s">
        <v>134</v>
      </c>
      <c r="B65" s="11" t="s">
        <v>114</v>
      </c>
      <c r="C65" s="16">
        <v>236314287</v>
      </c>
      <c r="D65" s="16">
        <v>247822518</v>
      </c>
      <c r="E65" s="16">
        <v>259154508</v>
      </c>
      <c r="F65" s="12" t="s">
        <v>143</v>
      </c>
    </row>
    <row r="66" spans="1:10" ht="149.25" customHeight="1" x14ac:dyDescent="0.25">
      <c r="A66" s="18" t="s">
        <v>144</v>
      </c>
      <c r="B66" s="19"/>
      <c r="C66" s="19"/>
      <c r="D66" s="19"/>
      <c r="E66" s="19"/>
      <c r="F66" s="19"/>
    </row>
    <row r="67" spans="1:10" s="2" customFormat="1" ht="13.5" customHeight="1" x14ac:dyDescent="0.25">
      <c r="A67" s="9" t="s">
        <v>115</v>
      </c>
      <c r="C67" s="3"/>
      <c r="D67" s="3"/>
      <c r="E67" s="3"/>
      <c r="F67" s="6"/>
      <c r="G67" s="3"/>
      <c r="H67" s="3"/>
      <c r="I67" s="3"/>
      <c r="J67" s="3"/>
    </row>
    <row r="71" spans="1:10" x14ac:dyDescent="0.25">
      <c r="F71" s="20"/>
    </row>
    <row r="72" spans="1:10" x14ac:dyDescent="0.25">
      <c r="F72" s="20"/>
    </row>
  </sheetData>
  <mergeCells count="9">
    <mergeCell ref="A66:F66"/>
    <mergeCell ref="F71:F72"/>
    <mergeCell ref="A7:F7"/>
    <mergeCell ref="A8:F8"/>
    <mergeCell ref="A9:F9"/>
    <mergeCell ref="A11:A12"/>
    <mergeCell ref="B11:B12"/>
    <mergeCell ref="C11:E11"/>
    <mergeCell ref="F11:F12"/>
  </mergeCells>
  <pageMargins left="0.59055118110236227" right="0.59055118110236227" top="1.1811023622047245" bottom="0.59055118110236227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НЗ 2023-2025 ГКУ ЖА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kns. Krinizina</dc:creator>
  <cp:lastModifiedBy>Сахарова Ольга Сергеевна</cp:lastModifiedBy>
  <cp:lastPrinted>2022-06-10T05:21:39Z</cp:lastPrinted>
  <dcterms:created xsi:type="dcterms:W3CDTF">2022-06-02T11:53:43Z</dcterms:created>
  <dcterms:modified xsi:type="dcterms:W3CDTF">2022-06-10T05:22:42Z</dcterms:modified>
</cp:coreProperties>
</file>