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lsteneva\Documents\Нормативные затраты на содержание Комитета и ГКУ\2020\Проект распоряжения\"/>
    </mc:Choice>
  </mc:AlternateContent>
  <bookViews>
    <workbookView xWindow="0" yWindow="0" windowWidth="28800" windowHeight="11835"/>
  </bookViews>
  <sheets>
    <sheet name="2021-2023 рабочий" sheetId="3" r:id="rId1"/>
  </sheets>
  <definedNames>
    <definedName name="_xlnm._FilterDatabase" localSheetId="0" hidden="1">'2021-2023 рабочий'!$A$10:$I$106</definedName>
    <definedName name="_xlnm.Print_Area" localSheetId="0">'2021-2023 рабочий'!$A$5:$K$106</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3" l="1"/>
  <c r="P29" i="3" l="1"/>
  <c r="O29" i="3"/>
  <c r="N29" i="3"/>
  <c r="F75" i="3" l="1"/>
  <c r="F57" i="3"/>
  <c r="G57" i="3" s="1"/>
  <c r="F87" i="3"/>
  <c r="F10" i="3" l="1"/>
  <c r="G10" i="3" l="1"/>
  <c r="H10" i="3" s="1"/>
  <c r="I10" i="3" s="1"/>
  <c r="J10" i="3" s="1"/>
  <c r="K10" i="3" s="1"/>
  <c r="F81" i="3" l="1"/>
  <c r="G35" i="3" l="1"/>
  <c r="H35" i="3"/>
  <c r="F35" i="3"/>
  <c r="F20" i="3"/>
  <c r="F19" i="3" s="1"/>
  <c r="F54" i="3" l="1"/>
  <c r="G54" i="3" s="1"/>
  <c r="H54" i="3" s="1"/>
  <c r="H57" i="3"/>
  <c r="H76" i="3" l="1"/>
  <c r="G76" i="3"/>
  <c r="M75" i="3"/>
  <c r="L75" i="3"/>
  <c r="N70" i="3"/>
  <c r="M69" i="3" s="1"/>
  <c r="H73" i="3" l="1"/>
  <c r="G73" i="3"/>
  <c r="M29" i="3"/>
  <c r="F33" i="3" l="1"/>
  <c r="G33" i="3" s="1"/>
  <c r="G32" i="3" s="1"/>
  <c r="F45" i="3"/>
  <c r="G45" i="3" s="1"/>
  <c r="H45" i="3" s="1"/>
  <c r="H33" i="3" l="1"/>
  <c r="H32" i="3" s="1"/>
  <c r="F32" i="3"/>
  <c r="F72" i="3"/>
  <c r="G15" i="3" l="1"/>
  <c r="H15" i="3" s="1"/>
  <c r="F14" i="3"/>
  <c r="F13" i="3" l="1"/>
  <c r="G14" i="3"/>
  <c r="G13" i="3" s="1"/>
  <c r="F100" i="3"/>
  <c r="G100" i="3" s="1"/>
  <c r="H100" i="3" s="1"/>
  <c r="F99" i="3"/>
  <c r="G99" i="3" s="1"/>
  <c r="H99" i="3" s="1"/>
  <c r="F98" i="3"/>
  <c r="G98" i="3" s="1"/>
  <c r="H98" i="3" s="1"/>
  <c r="H14" i="3" l="1"/>
  <c r="H13" i="3" s="1"/>
  <c r="G94" i="3"/>
  <c r="H94" i="3" s="1"/>
  <c r="F92" i="3"/>
  <c r="H59" i="3"/>
  <c r="G59" i="3"/>
  <c r="F59" i="3"/>
  <c r="G104" i="3"/>
  <c r="F104" i="3"/>
  <c r="F90" i="3"/>
  <c r="G90" i="3" s="1"/>
  <c r="H90" i="3" s="1"/>
  <c r="F89" i="3"/>
  <c r="G89" i="3" s="1"/>
  <c r="H89" i="3" s="1"/>
  <c r="H88" i="3"/>
  <c r="G88" i="3"/>
  <c r="F88" i="3"/>
  <c r="F78" i="3"/>
  <c r="F71" i="3"/>
  <c r="G92" i="3" l="1"/>
  <c r="H92" i="3" s="1"/>
  <c r="H104" i="3"/>
  <c r="F69" i="3"/>
  <c r="G69" i="3" l="1"/>
  <c r="H69" i="3" l="1"/>
  <c r="F52" i="3" l="1"/>
  <c r="G52" i="3" s="1"/>
  <c r="H52" i="3" s="1"/>
  <c r="H51" i="3"/>
  <c r="G51" i="3"/>
  <c r="F51" i="3"/>
  <c r="F53" i="3" l="1"/>
  <c r="G53" i="3" s="1"/>
  <c r="H53" i="3" s="1"/>
  <c r="F46" i="3" l="1"/>
  <c r="G50" i="3"/>
  <c r="H50" i="3" s="1"/>
  <c r="G44" i="3"/>
  <c r="F49" i="3"/>
  <c r="G49" i="3" s="1"/>
  <c r="H49" i="3" s="1"/>
  <c r="F61" i="3"/>
  <c r="F43" i="3"/>
  <c r="F42" i="3"/>
  <c r="F41" i="3"/>
  <c r="F40" i="3" l="1"/>
  <c r="G60" i="3" l="1"/>
  <c r="N57" i="3"/>
  <c r="Q57" i="3" s="1"/>
  <c r="M57" i="3"/>
  <c r="P57" i="3" s="1"/>
  <c r="L57" i="3"/>
  <c r="F30" i="3" l="1"/>
  <c r="N28" i="3"/>
  <c r="G72" i="3" l="1"/>
  <c r="H72" i="3" l="1"/>
  <c r="F18" i="3"/>
  <c r="F16" i="3" s="1"/>
  <c r="F12" i="3" s="1"/>
  <c r="F101" i="3"/>
  <c r="G101" i="3" s="1"/>
  <c r="H101" i="3" s="1"/>
  <c r="F95" i="3"/>
  <c r="G95" i="3" s="1"/>
  <c r="H95" i="3" s="1"/>
  <c r="F97" i="3"/>
  <c r="F96" i="3"/>
  <c r="G96" i="3" s="1"/>
  <c r="H96" i="3" s="1"/>
  <c r="F93" i="3"/>
  <c r="F105" i="3"/>
  <c r="G105" i="3" s="1"/>
  <c r="G65" i="3"/>
  <c r="H65" i="3" s="1"/>
  <c r="G64" i="3"/>
  <c r="H64" i="3" s="1"/>
  <c r="F64" i="3"/>
  <c r="G63" i="3"/>
  <c r="H63" i="3" s="1"/>
  <c r="F62" i="3"/>
  <c r="F84" i="3"/>
  <c r="F83" i="3"/>
  <c r="F82" i="3"/>
  <c r="F80" i="3"/>
  <c r="F79" i="3"/>
  <c r="F74" i="3"/>
  <c r="G71" i="3"/>
  <c r="H71" i="3" s="1"/>
  <c r="F70" i="3"/>
  <c r="F68" i="3" s="1"/>
  <c r="F66" i="3" s="1"/>
  <c r="G46" i="3"/>
  <c r="H46" i="3" s="1"/>
  <c r="H44" i="3"/>
  <c r="G61" i="3"/>
  <c r="H61" i="3" s="1"/>
  <c r="G43" i="3"/>
  <c r="H43" i="3" s="1"/>
  <c r="G42" i="3"/>
  <c r="H42" i="3" s="1"/>
  <c r="G41" i="3"/>
  <c r="H41" i="3" s="1"/>
  <c r="G40" i="3"/>
  <c r="H40" i="3" s="1"/>
  <c r="F39" i="3"/>
  <c r="H60" i="3"/>
  <c r="O57" i="3"/>
  <c r="F103" i="3"/>
  <c r="F102" i="3" s="1"/>
  <c r="F56" i="3"/>
  <c r="G56" i="3" s="1"/>
  <c r="H56" i="3" s="1"/>
  <c r="F55" i="3"/>
  <c r="G55" i="3" s="1"/>
  <c r="H55" i="3" s="1"/>
  <c r="F38" i="3"/>
  <c r="F48" i="3"/>
  <c r="G30" i="3"/>
  <c r="G27" i="3" s="1"/>
  <c r="G25" i="3"/>
  <c r="H25" i="3" s="1"/>
  <c r="G24" i="3"/>
  <c r="H24" i="3" s="1"/>
  <c r="G23" i="3"/>
  <c r="H23" i="3" s="1"/>
  <c r="G22" i="3"/>
  <c r="H22" i="3" s="1"/>
  <c r="G21" i="3"/>
  <c r="G17" i="3"/>
  <c r="F47" i="3" l="1"/>
  <c r="F37" i="3" s="1"/>
  <c r="G93" i="3"/>
  <c r="H93" i="3" s="1"/>
  <c r="H91" i="3" s="1"/>
  <c r="H86" i="3" s="1"/>
  <c r="F91" i="3"/>
  <c r="F86" i="3" s="1"/>
  <c r="F76" i="3"/>
  <c r="F73" i="3" s="1"/>
  <c r="G20" i="3"/>
  <c r="G19" i="3" s="1"/>
  <c r="H105" i="3"/>
  <c r="H102" i="3" s="1"/>
  <c r="G102" i="3"/>
  <c r="G38" i="3"/>
  <c r="G18" i="3"/>
  <c r="H18" i="3" s="1"/>
  <c r="H17" i="3"/>
  <c r="G62" i="3"/>
  <c r="H62" i="3" s="1"/>
  <c r="G70" i="3"/>
  <c r="G48" i="3"/>
  <c r="G39" i="3"/>
  <c r="H39" i="3" s="1"/>
  <c r="H21" i="3"/>
  <c r="H20" i="3" s="1"/>
  <c r="H19" i="3" s="1"/>
  <c r="H30" i="3"/>
  <c r="H27" i="3" s="1"/>
  <c r="G91" i="3" l="1"/>
  <c r="G86" i="3" s="1"/>
  <c r="G47" i="3"/>
  <c r="G37" i="3" s="1"/>
  <c r="F31" i="3"/>
  <c r="F11" i="3" s="1"/>
  <c r="F7" i="3" s="1"/>
  <c r="G16" i="3"/>
  <c r="G12" i="3" s="1"/>
  <c r="H16" i="3"/>
  <c r="H12" i="3" s="1"/>
  <c r="H38" i="3"/>
  <c r="H48" i="3"/>
  <c r="H47" i="3" s="1"/>
  <c r="H70" i="3"/>
  <c r="H68" i="3" s="1"/>
  <c r="H66" i="3" s="1"/>
  <c r="G68" i="3"/>
  <c r="G66" i="3" s="1"/>
  <c r="G31" i="3" l="1"/>
  <c r="G11" i="3" s="1"/>
  <c r="H37" i="3"/>
  <c r="H31" i="3" s="1"/>
  <c r="H11" i="3" s="1"/>
  <c r="H7" i="3" l="1"/>
  <c r="G7" i="3"/>
</calcChain>
</file>

<file path=xl/sharedStrings.xml><?xml version="1.0" encoding="utf-8"?>
<sst xmlns="http://schemas.openxmlformats.org/spreadsheetml/2006/main" count="418" uniqueCount="343">
  <si>
    <t>тыс. руб.</t>
  </si>
  <si>
    <t>№ п/п</t>
  </si>
  <si>
    <t>Вид (группа, подгруппа) затрат</t>
  </si>
  <si>
    <t>Код целевой статьи</t>
  </si>
  <si>
    <t>Код вида расходов</t>
  </si>
  <si>
    <t>Классифи-кация ОСГУ</t>
  </si>
  <si>
    <t>Значение нормативных затрат</t>
  </si>
  <si>
    <t>Порядок расчета нормативных затрат</t>
  </si>
  <si>
    <t>2021 год</t>
  </si>
  <si>
    <t>2022 год</t>
  </si>
  <si>
    <t>Затраты на информационно-коммуникационные технологии</t>
  </si>
  <si>
    <t>1.1.</t>
  </si>
  <si>
    <t>Затраты на услуги связи</t>
  </si>
  <si>
    <t xml:space="preserve"> 0550060410</t>
  </si>
  <si>
    <t xml:space="preserve">Затраты на содержание имущества </t>
  </si>
  <si>
    <t>1.3.</t>
  </si>
  <si>
    <t>Затраты на приобретение прочих работ и услуг, не относящихся к затратам на услуги связи, аренду и содержание имущества</t>
  </si>
  <si>
    <t>Поставка прав на использование программ для ЭВМ и баз данных ГРАНД-смета</t>
  </si>
  <si>
    <t xml:space="preserve">Поставка простой (неисключительной) лицензии  права на использование "Сбис" </t>
  </si>
  <si>
    <t xml:space="preserve">Оказание услуг по обеспечению подписки к бухгалтерской справочно-правовой системе «Госзаказ» </t>
  </si>
  <si>
    <t>Подписка на справочно-правовую систему «Госфинансы»</t>
  </si>
  <si>
    <t>1.4.</t>
  </si>
  <si>
    <t>Затраты на приобретение материальных запасов в сфере информационно-коммуникационных технологий</t>
  </si>
  <si>
    <t>2.1.</t>
  </si>
  <si>
    <t>0550060410</t>
  </si>
  <si>
    <t>Затраты на коммунальные услуги</t>
  </si>
  <si>
    <t>2.4.</t>
  </si>
  <si>
    <t>Затраты на аренду помещений и оборудования</t>
  </si>
  <si>
    <t>Расчет нормативных затрат на аренду помещений и оборудования осуществляется исходя из следующих подгрупп затрат:
затраты на аренду помещений</t>
  </si>
  <si>
    <t>Затраты на аренду помещений</t>
  </si>
  <si>
    <t>Затраты на содержание имущества</t>
  </si>
  <si>
    <t>Затраты на оказание услуг по вывозу снега с автостоянок</t>
  </si>
  <si>
    <t>Затраты на оплату услуг по санитарному обслуживанию мобильных туалетных кабин</t>
  </si>
  <si>
    <t>Затраты на техническое обслуживание и текущий ремонт техники (колесные 
погрузчики, автоэвакуаторы)</t>
  </si>
  <si>
    <t>Затраты на оплату услуг по ремонту и 
обслуживанию мобильных бензиновых и дизельных электростанций (генераторов)</t>
  </si>
  <si>
    <t xml:space="preserve">Затраты на техническое обслуживание и текущий ремонт автомобилей </t>
  </si>
  <si>
    <t>Затраты на оказание услуг по транспортировке отходов производства и потребления</t>
  </si>
  <si>
    <t>Затраты на приобретение прочих работ и услуг, не относящихся к затратам на услуги связи, транспортные услуги, оплату расходов по договорам об оказании услуг, связанных с проездом и наймом жилого помещения в связи с командированием работников, заключаемым со сторонними организациями, а также к затратам на коммунальные услуги, аренду помещений и оборудования, содержание имущества</t>
  </si>
  <si>
    <t>Затраты на проведение предрейсового и послерейсового осмотра водителей транспортных средств</t>
  </si>
  <si>
    <t>Затраты на приобретение полисов обязательного страхования гражданской ответственности владельцев транспортных средств</t>
  </si>
  <si>
    <t>Затраты на приобретение основных средств</t>
  </si>
  <si>
    <t>Затраты на приобретение канцелярских принадлежностей</t>
  </si>
  <si>
    <t>Затраты на приобретение хозяйственных товаров и принадлежностей</t>
  </si>
  <si>
    <t>Расчет нормативных затрат на приобретение хозяйственных товаров и принадлежностей осуществляется по формуле:
НЗхоз = Ппом x Нц хоз x Мхоз,
где: НЗхоз - нормативные затраты на приобретение хозяйственных товаров и принадлежностей;
Ппом - площадь обслуживаемых помещений;
Нц хоз - норматив цены набора хозяйственных товаров и принадлежностей в расчете на один кв. м обслуживаемых помещений за один месяц обслуживания;
Мхоз - количество месяцев обслуживания помещений</t>
  </si>
  <si>
    <t>Затраты на приобретение горюче-смазочных материалов</t>
  </si>
  <si>
    <t>Прочие затраты (в том числе затраты на закупку товаров, работ и услуг в целях оказания государственных услуг (выполнения работ) и реализации государственных функций), не указанные в подпунктах "а" - "ж" пункта 6 Общих правил</t>
  </si>
  <si>
    <t>Затраты на приобретение материальных запасов, не отнесенные к затратам, указанным в подпунктах "а" - "ж" пункта 6 Общих правил</t>
  </si>
  <si>
    <t>Иные прочие затраты, не отнесенные к иным затратам, указанным в подпунктах "а" - "ж" пункта 6 Общих правил</t>
  </si>
  <si>
    <t>Приложение  № 2
к распоряжению  Комитета по развитию транспортной инфраструктуры
Санкт-Петербурга
от ___________ № ____________</t>
  </si>
  <si>
    <t xml:space="preserve">Расчет нормативных затрат на приобретение канцелярских принадлежностей осуществляется по формуле:
НЗканц = Чр x Нц канц,
где: НЗканц - нормативные затраты на приобретение канцелярских принадлежностей;
Чр - расчетная численность работников ИОГВ (ОУ ТГВФ, КУ);
Нц канц - норматив цены набора канцелярских принадлежностей для одного работника ИОГВ (ОУ ТГВФ, КУ)
</t>
  </si>
  <si>
    <t>Услуги по сопровождению программы бухгалтерского бюджетного учета 1С и программы зарплаты и кадры</t>
  </si>
  <si>
    <r>
      <rPr>
        <b/>
        <sz val="12"/>
        <color theme="1"/>
        <rFont val="Times New Roman"/>
        <family val="1"/>
        <charset val="204"/>
      </rPr>
      <t>Нормативные затраты на обеспечение функций
Санкт-Петербургского государственного казенного учреждения «Городской центр управления парковками Санкт-Петербурга»
на 2021 год и на плановый период 2022 и 2023 годов</t>
    </r>
    <r>
      <rPr>
        <sz val="12"/>
        <color theme="1"/>
        <rFont val="Times New Roman"/>
        <family val="1"/>
        <charset val="204"/>
      </rPr>
      <t xml:space="preserve">
</t>
    </r>
    <r>
      <rPr>
        <i/>
        <sz val="12"/>
        <color theme="1"/>
        <rFont val="Times New Roman"/>
        <family val="1"/>
        <charset val="204"/>
      </rPr>
      <t>в соответствии с Постановлением Правительства Санкт-Петербурга от 28.04.2016 № 327 «О Правилах определения нормативных затрат на обеспечение функций государственных органов 
Санкт-Петербурга, органа управления территориальным государственным внебюджетным фондом и подведомственных им государственных казенных учреждений Санкт-Петербурга»</t>
    </r>
  </si>
  <si>
    <t>2023 год</t>
  </si>
  <si>
    <t xml:space="preserve">Расчет нормативных затрат на услуги связи осуществляется исходя из следующих подгрупп затрат:
- затраты на передачу данных с использованием информационно-телекоммуникационной сети "Интернет" и услуг интернет-провайдеров;
 - затраты на оплату иных услуг связи в сфере информационно-коммуникационных технологий.
</t>
  </si>
  <si>
    <t xml:space="preserve">Затраты на приобретение других запасных частей для вычислительной техники
</t>
  </si>
  <si>
    <t>Расчет нормативных затрат на приобретение других запасных частей для вычислительной техники осуществляется по формуле:
НЗзч = Нц зч x Свт,
где: НЗзч - нормативные затраты на приобретение других запасных частей для вычислительной техники;
Нц зч - норматив цены запасных частей для вычислительной техники;
Свт - первоначальная стоимость вычислительной техники, находящейся на балансе ИОГВ (ОУ ТГВФ, КУ)</t>
  </si>
  <si>
    <t>Затраты на приобретение деталей для содержания принтеров, многофункциональных устройств и копировальных аппаратов (оргтехники)</t>
  </si>
  <si>
    <t xml:space="preserve">Иные затраты, относящиеся к затратам на приобретение материальных запасов в сфере информационно-коммуникационных технологий
</t>
  </si>
  <si>
    <t xml:space="preserve">Расчет нормативных затрат на приобретение материальных запасов в сфере информационно-коммуникационных технологий осуществляется исходя из следующих подгрупп затрат:
- затраты на приобретение других запасных частей для вычислительной техники;
- затраты на приобретение деталей для содержания принтеров, многофункциональных устройств и копировальных аппаратов (оргтехники);
-иные затраты, относящиеся к затратам на приобретение материальных запасов в сфере информационно-коммуникационных технологий
</t>
  </si>
  <si>
    <t xml:space="preserve">Расчет нормативных затрат на аренду помещений осуществляется по формуле:
НЗар = Пар x Нц ар x Мар,
где: НЗар - нормативные затраты на аренду помещений;
Пар - площадь арендуемых помещений;
Нц ар - норматив цены аренды одного кв. м помещений в расчете на один месяц аренды;
Мар - количество месяцев аренды
</t>
  </si>
  <si>
    <t>Расчет в соответствии с нормативами цены товаров,работ,услуг на 2021 год и плановый период 2022 и 2023 годов утвержденных распоряжение КЭПиСП от 15.05.2020 №49-р. 
Арендуемая площадь по адресу Дегтярный пер., д 11 лит.Б. составляет 1104 кв.м.
Расчет на 2021 год - 1 386 руб. *1104 кв.м*12 = 18 361,8 тыс.руб.
Расчет на 2022 год -  1 446 руб.*1104 кв.м. = 19 156,6 .тыс.руб.
Расчет на 2023 год - 1 507 руб.*1104 кв.м = 19 964,8 тыс.руб.</t>
  </si>
  <si>
    <t>Затраты Учреждения состоят из:
- затрат на услуги по сопровождению программы бухгалтерского бюджетного учета 1С и программы зарплаты и кадры;
- затрат на поставку прав на использование программ для ЭВМ и баз данных ГРАНД-смета;
- затрат  на поставку простой (неисключительной) лицензии  права на использование "Сбис";
- затрат на оказание услуг по обеспечению подписки к бухгалтерской справочно-правовой системе «Госзаказ»;
- затрат на подписку на справочно-правовую систему «Госфинансы»; 
- затрат на поставку  DLP-системы.</t>
  </si>
  <si>
    <t xml:space="preserve">Расчет нормативных затрат на приобретение прочих работ и услуг, не относящихся к затратам на услуги связи, аренду и содержание имущества, осуществляется исходя из следующих подгрупп затрат:
- затраты на оплату услуг по сопровождению программного обеспечения и приобретению простых (неисключительных) лицензий на использование программного обеспечения;
- затраты на оплату услуг, связанных с обеспечением безопасности информации.
</t>
  </si>
  <si>
    <t>Затраты Учреждения состоят из:
- затрат на закупку комплектующих для автоматизированных рабочих мест;
- затрат на поставку комплектующих для принтеров и МФУ;
- затрат на поставку комплектующих для серверов "ЕГПП".</t>
  </si>
  <si>
    <r>
      <t xml:space="preserve">Расчет в соответствии с нормативами цены товаров,работ,услуг на 2021 год и плановый период 2022 и 2023 годов утвержденных распоряжение КЭПиСП от 15.05.2020 №49-р. Расчет производится как 1% от первоначальной стоимости вычислительной техники, находящейся на балансе.
</t>
    </r>
    <r>
      <rPr>
        <b/>
        <i/>
        <sz val="11"/>
        <color theme="1"/>
        <rFont val="Times New Roman"/>
        <family val="1"/>
        <charset val="204"/>
      </rPr>
      <t>Первоначальная стоимость АРМ - 10 121,4 тыс.руб.</t>
    </r>
    <r>
      <rPr>
        <i/>
        <sz val="11"/>
        <color theme="1"/>
        <rFont val="Times New Roman"/>
        <family val="1"/>
        <charset val="204"/>
      </rPr>
      <t xml:space="preserve">
Расчет на 2021 год -10 121,4*1% = 101,3 тыс.руб.
Расчет на 2022 год -  10 121,4*1% = 101,3 тыс.руб.
Расчет на 2023 год - 10 121,4*1% = 101,3 тыс.руб.</t>
    </r>
  </si>
  <si>
    <t>Затраты на приобретение транспортных средств</t>
  </si>
  <si>
    <t>Расчет затрат Учреждения услуг по обеспечению возможности оплаты парковочной сессии и приема платежей и зачислению денежных средств в казначейство на лицевой счет администратора доходов 
в зоне ЕГПП произведен в соответствии с расчетом НМЦК по КП : 
Расчет на 2021 год составляет 11 173,9 тыс.руб.
Расчет на 2022 год составляет 11 173,9*1,043 (ИПЦ2022 года)
Расчет на 2023 год составляет 11 654,4*1,042 (ИПЦ2023 года)</t>
  </si>
  <si>
    <t>Затраты на приобретение запасных частей для транспортных средств</t>
  </si>
  <si>
    <t>уточнить срок полезного использования</t>
  </si>
  <si>
    <t>Расчет затрат произведен  по тарифам (ПП СПб от 29.12.2011 №1777 "О мерах по орг. Тех осмотра ТС")с применением ИПЦ. Общая стоимость Тех осмотра ТС 16,92 тыс. руб.
Расчет на 2021 год составляет 16,92 тыс. руб.* 1,041 (ИПЦ2021 года)
Расчет на 2022 год составляет 18,4 *1,043 (ИПЦ2022 года)
Расчет на 2023 год составляет 19,1 *1,042 (ИПЦ2023 года)</t>
  </si>
  <si>
    <t>Расчет затрат на оказание услуг по сопровождению автоматизированных парковочных систем («ШТРИХ–М», «SCHEIDT&amp;BACHMANN», "ПАРКТАЙМ") произведен в соответствии фактическим исполнением за 10 мес. 2019 год на 20 АПС. В 2021 году расчет на 24 АПС. 
Расчет на 2021 год составляет 4219,39102 тыс. руб. (факт)/20 АПС *24 АПС /10 мес.*12 мес.*1,0397(ИПЦ2020 года) * 1,041 (ИПЦ2021 года)
Расчет на 2022 год составляет 6 576,1*1,043 (ИПЦ2022 года)
Расчет на 2023 год составляет 6 858,9*1,042 (ИПЦ2023 года)</t>
  </si>
  <si>
    <t>2.7.1</t>
  </si>
  <si>
    <t>Расчет нормативных затрат</t>
  </si>
  <si>
    <t>Расчет нормативных затрат в соответствии  распоряжением КЭПиСП от 15.05.2020 №49-р</t>
  </si>
  <si>
    <t>2.7.3</t>
  </si>
  <si>
    <t>2.8</t>
  </si>
  <si>
    <t xml:space="preserve">                                                                                                                                                              </t>
  </si>
  <si>
    <t>Расчет в соответствии с нормативами цены товаров,работ,услуг на 2021 год и плановый период 2022 и 2023 годов утвержденных распоряжение КЭПиСП от 15.05.2020 №49-р. 
Расчет на 2021 год - 1 277 кв.м * 14,5 руб *12 мес.
Расчет на 2022 год -  1 277 кв.м * 15,0 руб *12 мес.
Расчет на 2023 год - 1 277 кв.м * 16,0 руб *12 мес.
Площадь  помещений 1 277 кв.м (1 104 кв.м. аренд. пом. +173 кв.м. в операт. управлении)</t>
  </si>
  <si>
    <r>
      <t xml:space="preserve">Расчет затрат Учреждения на услуги по обеспечению эквайринга на автоматизированных парковочных системах на 2021 год произведен на основании </t>
    </r>
    <r>
      <rPr>
        <b/>
        <i/>
        <sz val="11"/>
        <color theme="1"/>
        <rFont val="Times New Roman"/>
        <family val="1"/>
        <charset val="204"/>
      </rPr>
      <t xml:space="preserve">доходов за 3 месяца 2020 года в сумме 6 514,1 тыс.руб. </t>
    </r>
    <r>
      <rPr>
        <i/>
        <sz val="11"/>
        <color theme="1"/>
        <rFont val="Times New Roman"/>
        <family val="1"/>
        <charset val="204"/>
      </rPr>
      <t>Среднее знач/мес. - 2 171,4 тыс.руб. Расчет на 12 мес. = 2 171,2*12 мес*2,1% (процентная ставка эквайринга в соответствии с договором) = 547,2 тыс.руб. (за 12 месяцев 2020 года)
Расчет на 2021 год составляет 547,2*1,041 (ИПЦ2021 года)
Расчет на 2022 год составляет 569,6*1,043 (ИПЦ2022 года)
Расчет на 2023 год составляет 594,1*1,042 (ИПЦ2023 года)</t>
    </r>
  </si>
  <si>
    <t>Расчет затрат Учреждения на оказание услуг по закупке воды для ручного полива на 2021 год произведен в соответствии с письмом ГУП Водоканал  на сумму 15,2 тыс.руб.
Расчет на 2021 год составляет 15,2*1,041 (ИПЦ2021 года)
Расчет на 2022 год составляет 15,8*1,043 (ИПЦ2022 года)
Расчет на 2023 год составляет 16,5*1,042 (ИПЦ2023 года)</t>
  </si>
  <si>
    <t>Расчёт НМЦК на поставку офисной бумаги для копировально-множительной техники и оргтехники произведён на основании Реестра товаров для обеспечения нужд Санкт-Петербурга на 2020 год
(расчет на 143 офис. Работника по 24 упак./год + Постановления)
Расчет на 2021 год составляет:
Бумага формат А4 - 3 952 упаков.*279,07 руб. = 1 102 884,64 руб
Бумага формат А3 - 286 упаковок *572,33 руб. = 163 686,38 руб.
1 266 571,02 руб. *1,041 (ИПЦ2021 года)
Расчет на 2022 год составляет 1 318,5 тыс. руб.*1,043 (ИПЦ2022 года)
Расчет на 2023 год составляет 1 375,2 тыс. руб.*1,042 (ИПЦ2023 года)</t>
  </si>
  <si>
    <t xml:space="preserve">Расчет затрат Учреждения на поставку парковочных билетов для автостоянок на 2021 год произведен на основании КП. Стоимость в 2021 году  7 155,67 руб. (НМЦК) за 1 стек . Ежегодный расход парк. билетов - 60 стеков (в 1 стеке 5000 билетов)
Расчет на 2021 год составляет  60 стеков * 7 155,67 руб. ИПЦ не применяется
Расчет на 2022 год составляет 429,4 тыс. руб *1,043 (ИПЦ2022 года)
Расчет на 2023 год составляет 447,9 тыс. руб. *1,042 (ИПЦ2023 года) </t>
  </si>
  <si>
    <t>Расчет затрат Учреждения на оказание услуг по работ по заправке и восстановлению картриджей  для печатающей техники на 2021 год произведен в соответствии с расчетом НМЦК по КП на сумму 493,4 тыс.руб. (Заправка 355 ед. * 924,52 руб. + восстановление 70 картриджей * 2 359,9 руб.)
Расчет на 2021 год составляет 493,4*1,041 (ИПЦ2021 года)
Расчет на 2022 год составляет 513,6*1,043 (ИПЦ2022 года)
Расчет на 2023 год составляет 535,7*1,042 (ИПЦ2023 года)</t>
  </si>
  <si>
    <t xml:space="preserve">Расчет затрат Учреждения по закупке конусов сигнальных произведен в соответствии с расчетом НМЦК по КП на сумму 85,7тыс.руб.
Расчет на 2021 год составляет 85,7*1,041(ИПЦ2021 года)
</t>
  </si>
  <si>
    <t>Поставка рабочего инвентаря и расходных материалов для содержания автостоянок необходима для поддержания парковочного пространства в надлежащем состоянии и проведение работ по благоустройству территории автостоянок
Расчет затрат Учреждения по поставке товаров на 2021 год произведен в соответствии с реестром товаров для обеспечения нужд Санкт-Петербурга на 2020 год. 
Расчет на 2021 год составляет 555,6 тыс. руб *1,041 (ИПЦ2021 года)
Расчет на 2022 год составляет 578,3 тыс. руб.*1,043 (ИПЦ2022 года)
Расчет на 2023 год составляет 603,2*1,042 (ИПЦ2023 года)</t>
  </si>
  <si>
    <t xml:space="preserve">Расчет нормативных затрат на оплату услуг по сопровождению программного обеспечения и приобретению простых (неисключительных) лицензий на использование программного обеспечения осуществляется в порядке, определяемом ИОГВ (ОУ ТГВФ), с учетом нормативных затрат на приобретение лицензий на использование правовых баз данных (справочных правовых систем "Консультант Плюс", "Гарант", "Кодекс" и других) (далее - приобретение правовых баз данных).
Расчет нормативных затрат на приобретение правовых баз данных осуществляется по формуле: НЗпбд = Чр x Нц пбд,
где: НЗпбд - нормативные затраты на приобретение правовых баз данных;
Чр - расчетная численность работников ИОГВ (ОУ ТГВФ, КУ);
Нц пбд - норматив цены приобретения правовых баз данных
</t>
  </si>
  <si>
    <r>
      <t xml:space="preserve">Расчет затрат Учреждения на комплектующих для автоматизированных рабочих мест :
Разовая закупка на сумму 992,5 тыс. руб. ( 273 шт. в случае отсутс. согласования заявки при корректировки бюджета в 2020 году (процессор,мат.плата,модуль памяти, устройство охлаждения, блок питания, жёсткий диск, видеокарта,ssd накопитель) . 
280,8 тыс. руб. ежегодно (197 шт.). 
на 2021 год произведен в соответствии с расчетом НМЦК по КП с учетом ИПЦ. 
Расчет на 2021 год составляет 1 273,3 тыс. руб.(280,8+992,5)*1,041 (ИПЦ2021 года) = 1 325,5 тыс.руб.
Расчет на 2022 год составляет 280,8 * 1,041 (ИПЦ2021 года)*1,043 (ИПЦ2022 года) = 305,0 тыс.руб.
Расчет на 2023 год составляет 305,0*1,042 (ИПЦ2023 года) = 317,8 тыс.руб.
</t>
    </r>
    <r>
      <rPr>
        <b/>
        <i/>
        <sz val="11"/>
        <color theme="1"/>
        <rFont val="Times New Roman"/>
        <family val="1"/>
        <charset val="204"/>
      </rPr>
      <t xml:space="preserve">Разница с нормативом составляет:
</t>
    </r>
    <r>
      <rPr>
        <i/>
        <sz val="11"/>
        <color theme="1"/>
        <rFont val="Times New Roman"/>
        <family val="1"/>
        <charset val="204"/>
      </rPr>
      <t>Расчет на 2021 год составляет 1 224,2 тыс.руб.
Расчет на 2022 год составляет 203,7 тыс.руб.
Расчет на 2023 год составляет 216,5 тыс.руб.</t>
    </r>
  </si>
  <si>
    <t>Расчет нормативных затрат на коммунальные услуги произведен на основании Протокола согласования лимитов потребления топливно-энергетических ресурсов и воды главным распорядителям и получателям средств бюджета Санкт-Петербурга на 2020 год, а также информации о прогнозируемых на 2021 - 2023 гг. темпах роста цен (тарифов), подлежащих государственному регулированию, направленной Комитетом по тарифам Санкт-Петербурга письмом от 26.05.2020 № 01-13-513/20-0-0. 
Расчет на 2021 год:
-электрическая энергия: 4 631,9 тыс.руб.*103,2% = 4 780,1 тыс.руб.
-тепловая энергия: 1 010,8 тыс.руб. * 103,7% = 1 048,2 тыс.руб.
-водоснабжение и водоотведение: 4 265,3 тыс.руб. * 103,7% = 4 423,1 тыс.руб.
Расчет на 2022 год:
-электрическая энергия: 4 780,1 тыс.руб.*102,5% = 4 899,6 тыс.руб.
-тепловая энергия: 1 048,2 тыс.руб. * 104,0% = 1 090,1 тыс.руб.
-водоснабжение и водоотведение: 4 423,1 тыс.руб. * 104,0% = 4 600,0 тыс.руб.
Расчет на 2023 год:
-электрическая энергия: 4 899,6 тыс.руб.*102,4% = 5 017,2 тыс.руб.
-тепловая энергия: 1 090,1 тыс.руб. * 104,0% = 1 133,7 тыс.руб.
-водоснабжение и водоотведение: 4 600,0 тыс.руб. * 104,0% = 4 784,0 тыс.руб.</t>
  </si>
  <si>
    <t>Затраты на оказание услуг по обслуживание контрольно-кассовых машин</t>
  </si>
  <si>
    <t>Расчет затрат на оказание услуг по обслуживание контрольно-кассовых машин произведен в соответствии с расчетом НМЦК по КП : 
Всего 160 касс с учетом закупки 5 ККТ в 2020 году 
Обслуж 160 касс раз в месяц - 12 мес. (160*12 мес.=1920 услуг в год) - 2 367 933,6 руб., 
замена фиск 1 раз в год - 160 касс- 1 466 667,2 руб.,  
сим. для эвотор 1 раз в год - 33 кассы- 132 000 руб.
Расчет на 2021 год составляет 3 966,7 (ИПЦ не применяется)
Расчет на 2022 год составляет 3966,7*1,043 (ИПЦ2022 года)
Расчет на 2023 год составляет 4137,3*1,042 (ИПЦ2023 года)</t>
  </si>
  <si>
    <t>Расчет в соответствии с нормативами цены товаров,работ,услуг на 2021 год и плановый период 2022 и 2023 годов утвержденных распоряжение КЭПиСП от 15.05.2020 №49-р (п.23.2). Общая площадь кровли зданий 180 кв.м
Расчет на 2021 год - 180 кв.м руб. *23,00 руб. * 6 (3 мес. по 2 чистки) = 24,84 тыс.руб.
Расчет на 2022 год -  180 кв.м руб. *24,00 руб. * 6 (3 мес. по 2 чистки) = 25,92 тыс.руб.
Расчет на 2023 год -180 кв.м руб. *25,00 руб. * 6 (3 мес. по 2 чистки) = 27,0 тыс.руб.</t>
  </si>
  <si>
    <t>1. Расчет топлива произведен в соответствии с необходимым пробегом (на основании фактических данных за 2019 и 2020 год):
Бензин марки Аи 95 – 76 291 л. (ТС на балансе)+ 3 373л. для 2 новых ТС
Дизельное топливо– 53 722 л. (ТС на балансе)
Цена за литр топлива на 2021 год рассчитана на основании реестра товаров для обеспечения нужд Санкт-Петербурга на 2 квартал 2020
Таким образом стоимость бензина марки АИ 95 на 2021 год составит:
76291л*47,13руб/л =3 595 594,83 руб. ; 3 373,1 л * 47,13руб/л = 158 969,49 руб.
Стоимость дизельного топлива составит:
53722 л *49,39 руб/л =2 653 329,58 руб. 
ИТОГО: 6 407,9 тыс. руб
Расчет на 2021 год составляет 6 407,9 *1,041 (ИПЦ2021 года)= 6 670,6 тыс. руб.
Расчет на 2022 год составляет 6 670,6 *1,043 (ИПЦ2022 года) = 6 957,5  тыс. руб.
Расчет на 2023 год составляет 6 957,5 *1,042 (ИПЦ2023 года) = 7 249,7 тыс. руб.
2. Расчет стоимости жидкости для использования в системе снижения токсичности SCR дизельных двигателей (19 канистр) произведен на основании стоимости по договору 2019 года:
Расчет на 2021 год составляет 19 шт * 615 руб * 1,0397 (ИПЦ2020 года)*1,041 (ИПЦ2021 года) = 12,6 тыс. руб. 
Расчет на 2022 год составляет 12,6 *1,043 (ИПЦ2022 года) = 13,2 тыс. руб. 
Расчет на 2023 год составляет 13,2 *1,042 (ИПЦ2023 года)= 13,7 тыс. руб.</t>
  </si>
  <si>
    <t>Затраты на передачу данных с использованием информационно-телекоммуникационной сети "Интернет" и услуг интернет-провайдеров</t>
  </si>
  <si>
    <t xml:space="preserve">Затраты на оплату иных услуг связи в сфере информационно-коммуникационных технологий
</t>
  </si>
  <si>
    <t xml:space="preserve">Затраты на оплату услуг, связанных с обеспечением безопасности информации
</t>
  </si>
  <si>
    <t>2.8.1</t>
  </si>
  <si>
    <t>Затраты на страхование здания</t>
  </si>
  <si>
    <t xml:space="preserve">Затраты на передачу электрической энергии </t>
  </si>
  <si>
    <t xml:space="preserve">Затраты на временное размещение оборудования на опорах системы наружного освещения </t>
  </si>
  <si>
    <t xml:space="preserve">Затраты на технический осмотр транспортных средств </t>
  </si>
  <si>
    <t xml:space="preserve">Затраты на мойку транспортных средств </t>
  </si>
  <si>
    <t>Затраты на долевое участие в содержании и ремонте мест общего пользования нежилого помещения, находящегося по адресу Чайковского 22</t>
  </si>
  <si>
    <t>Затраты на чистку от снега кровли зданий, находящихся в оперативном управлении СПб ГКУ "ГЦУП"</t>
  </si>
  <si>
    <t>Затраты на уборку помещений</t>
  </si>
  <si>
    <t>Затраты на мойку фасадов</t>
  </si>
  <si>
    <t>Затраты на подготовку системы отопления здания по адресу: Санкт Петербург, Ивановская ул., д. 36, корп. 2, лит. Б.</t>
  </si>
  <si>
    <t xml:space="preserve">Затраты на сопровождение автоматизированных парковочных систем </t>
  </si>
  <si>
    <t xml:space="preserve">Затраты на проведение предрейсовых медицинских осмотров </t>
  </si>
  <si>
    <t>Затраты на проведение периодического, предварительного медицинского осмотра и психиатрического освидетельствования (медосмотр водителей)</t>
  </si>
  <si>
    <t>Затраты состоят из:
- Оказание услуг по изготовлению евробуклетов для информирования владельцев транспортных средств, проживающих и/или работающих в непосредственной близости от находящихся в ведении СПб ГКУ "Городской центр управления парковками Санкт-Петербурга" городских автостоянок, в том числе перехватывающих, о возможности их использования для размещения транспортных средств;
- Затраты на проведение предрейсовых медицинских осмотров ;
- Затраты на проведение периодического, предварительного медицинского осмотра и психиатрического освидетельствования (медосмотр водителей);
 - Затраты на приобретение полисов обязательного страхования гражданской ответственности владельцев транспортных средств (ОСАГО)</t>
  </si>
  <si>
    <r>
      <t xml:space="preserve">В 2020 году заключен договор аренды нежилого помещения на сумму 31 923,1 тыс.руб. Арендуемая площадь по адресу Дегтярный пер., д 11 лит.Б. составляет 1104 кв.м.
В соответствии с п.5.4 действующего договора аренды нежилого помещения в случае перезаключения договора на новый срок, арендодатель в праве изменить размер арендной платы, но не более, чем на 8% к базовой части арендной платы за предыдущий год аренды. 
Расчет на 2021 год - 31 923,1 тыс.руб. +8% = 34 477,0 тыс.руб.
Расчет на 2022 год -  34 477,0 тыс.руб. +8% = 37 235,1.тыс.руб.
Расчет на 2023 год - 37 235,1 тыс.руб.+8%= 40 213,9 тыс.руб.
</t>
    </r>
    <r>
      <rPr>
        <b/>
        <i/>
        <sz val="11"/>
        <color theme="1"/>
        <rFont val="Times New Roman"/>
        <family val="1"/>
        <charset val="204"/>
      </rPr>
      <t xml:space="preserve">
Разница с нормативом получается
на 2021 год -  16 115,2 тыс.руб.
на 2022 год -  18 078,5 тыс.руб.
на 2023 год - 20 249,1 тыс.руб.</t>
    </r>
  </si>
  <si>
    <t xml:space="preserve">Затраты на оказание услуг по контролю качества сточных вод на автостоянке </t>
  </si>
  <si>
    <t xml:space="preserve">Затраты на услуги по утилизации имущества </t>
  </si>
  <si>
    <t>Затраты на услуги по предоставлению и размещению информационных табло (для Чемпионата Европы )</t>
  </si>
  <si>
    <t xml:space="preserve"> Затраты на покос, сгребание, уборка, вывоз и утилизация травы (на автостоянках)</t>
  </si>
  <si>
    <t xml:space="preserve"> Затраты на обеспечение эквайринга на автоматизированных парковочных системах</t>
  </si>
  <si>
    <t xml:space="preserve">Затраты на обеспечение возможности оплаты парковочной сессии и приема платежей и зачислению денежных средств в казначейство на лицевой счет администратора доходов 
</t>
  </si>
  <si>
    <t>Затраты на обработку и передачу фискальных данных от контрольно-кассовой техники автостоянок в ФНС</t>
  </si>
  <si>
    <t>Затраты на обработку и передачу фискальных данных от контрольно-кассовой техники паркоматов в ФНС</t>
  </si>
  <si>
    <t>Затраты на проведение специальной оценки условий труда условий труда (СОУТ)</t>
  </si>
  <si>
    <t>Затраты на установку и настройку системы контроля и управления доступом (СКУД)</t>
  </si>
  <si>
    <t xml:space="preserve">Затраты на поставку бумаги </t>
  </si>
  <si>
    <t>Затраты на поставку чековой ленты для автостоянок</t>
  </si>
  <si>
    <t>Затраты на поставку парковочных билетов для автостоянок</t>
  </si>
  <si>
    <t>Затраты на поставку стеклоомывающей жидкости</t>
  </si>
  <si>
    <t>Затраты на поставку воды для ручного полива</t>
  </si>
  <si>
    <t>Затраты на поставку конусов сигнальных</t>
  </si>
  <si>
    <t>Затраты на поставку рабочего инвентаря и расходных материалов для содержания автостоянок</t>
  </si>
  <si>
    <t>Затраты на поставку чистящих средств для парковочного оборудования (паркоматы и АПС)</t>
  </si>
  <si>
    <t>Затраты на поставку электротехнических материалов</t>
  </si>
  <si>
    <t>Затраты на поставку картриджей для печатающих устройств</t>
  </si>
  <si>
    <t>Затраты на  заправку и восстановлению картриджей  для печатающей техники</t>
  </si>
  <si>
    <t xml:space="preserve">Затраты на оборудование системы контроля и управления доступом (СКУД). </t>
  </si>
  <si>
    <t>Затраты на поставку контейнеров для хранения пескосоляной смеси</t>
  </si>
  <si>
    <t>Затраты на поставку кубических емкостей для воды</t>
  </si>
  <si>
    <t>Затраты на поставку пескоразбрасывателей</t>
  </si>
  <si>
    <t xml:space="preserve">Затраты на поставку мойки высокого давления </t>
  </si>
  <si>
    <t>Затраты на поставку газонокосилок</t>
  </si>
  <si>
    <t>Затраты на поставку информационных стендов</t>
  </si>
  <si>
    <t>Затраты на поставку банковских POS - терминалов (терминалов эквайринга)</t>
  </si>
  <si>
    <t>Затраты на поставку окрасочного аппарата</t>
  </si>
  <si>
    <t>Затраты на содержание имущества включают в себя:
- Затраты на страхование здания
- Затраты на передачу электрической энергии 
- Затраты на временное размещение оборудования на опорах системы наружного освещения
- Затраты на техническое обслуживание 
электроустановок
- Затраты на техническое обслуживание и текущий ремонт техники (колесные 
погрузчики, автоэвакуаторы)
- Затраты на оплату услуг по ремонту и 
обслуживанию мобильных бензиновых и дизельных электростанций (генераторов)
- Затраты на техническое обслуживание и текущий ремонт автомобилей
- Затраты на технический осмотр транспортных средств
Затраты на мойку транспортных средств
- Затраты на оказание услуг по обслуживание контрольно-кассовых машин
- Затраты на долевое участие в содержании и ремонте мест общего пользования нежилого помещения, находящегося по адресу Чайковского 22
- Затраты на чистку от снега кровли зданий, находящихся в оперативном управлении СПб ГКУ "ГЦУП"
- Затраты на уборку помещений
- Затраты на мойку фасадов
- Затраты на подготовку системы отопления здания по адресу: Санкт Петербург, Ивановская ул., д. 36, корп. 2, лит. Б.
- Затраты на сопровождение автоматизированных парковочных систем</t>
  </si>
  <si>
    <t xml:space="preserve">И.о. директора </t>
  </si>
  <si>
    <t>Д.Ю. Ваньчков</t>
  </si>
  <si>
    <t>нмцк вместо договора</t>
  </si>
  <si>
    <t>Затраты на обучение</t>
  </si>
  <si>
    <t>1.1.1</t>
  </si>
  <si>
    <t>1.1.2</t>
  </si>
  <si>
    <t>1.2.</t>
  </si>
  <si>
    <t>1.3.1.</t>
  </si>
  <si>
    <t>1.3.1.1</t>
  </si>
  <si>
    <t>1.3.1.2</t>
  </si>
  <si>
    <t>1.3.1.3</t>
  </si>
  <si>
    <t>1.3.1.4</t>
  </si>
  <si>
    <t>1.3.1.5</t>
  </si>
  <si>
    <t>1.3.2</t>
  </si>
  <si>
    <t>Расчет затрат Учреждения на услуги связи на 2021 год произведён в соответствии с расчетом НМЦК (на 2021 год): 
- затраты на оказание услуг по предоставлению доступа к сети Интернет посредством мобильной связи для контрольно-кассовой техники на автостоянках. на сумму 160,5 тыс.руб.= 29 сим.карт * 5, 53 тыс. руб.(год);
- затраты на оказание услуг по предоставлению доступа к сети Интернет посредством мобильной связи для контрольно-кассовой техники паркоматах на сумму 448,0 тыс.руб. = 200 * 2,24 тыс. руб. (год)
Расчет на 2021 год составляет 608,5 тыс.руб.= 160,5 тыс.руб.+ 448,0 тыс.руб.
Расчет на 2022 год составляет 608,5*1,043 (ИПЦ2022 года)
Расчет на 2023 год составляет 634,7 *1,042 (ИПЦ2023 года)</t>
  </si>
  <si>
    <t>Расчет затрат Учреждения на услуги связи на 2021 год произведён в соответствии с расчетом НМЦК (на 2021 год): 
- затраты на оказание услуг по предоставлению доступа к сети Интернет по технологическим каналам связи на 9 автостоянках на сумму 1 386,7 тыс.руб.
Расчет на 2021 год составляет 1 386,7 тыс.руб.= 12,333 тыс. руб. * 9 каналов связи
Расчет на 2022 год составляет 1 386,7*1,043 (ИПЦ2022 года)
Расчет на 2023 год составляет 1 446,3*1,042 (ИПЦ2023 года)</t>
  </si>
  <si>
    <t>Расчет  затрат Учреждения на выполнение работ по аварийному ремонту периферийного оборудования ГИС ЕГПП в 2021 году произведен в соответствии с расчетом НМЦК (без учета ИПЦ) 
Объем рассчитан на основании технического заключения, а также необходимых ремонтных работ и обновления ПО. 
Расчет на 2021 год составляет 7000,5 тыс.руб. = 100 паркоматов * (60,03 тыс, руб. зап ч. + 10,0 тыс. ПО)
Расчет на 2022 год составляет 7000,5 *1,043 (ИПЦ2022 года)
Расчет на 2023 год составляет 7 301,5*1,042 (ИПЦ2023 года)</t>
  </si>
  <si>
    <t>Расчет затрат Учреждения на услуги по сопровождению программы бухгалтерского бюджетного учета 1С и программы зарплаты и кадры на 2021 год произведён в соответствии с расчетом НМЦК (без ИПЦ)
Расчет на 2021 год составляет 494,4 тыс. руб. = 8 чел. * 61,8 тыс. руб
Расчет на 2022 год составляет 494,4 *1,043 (ИПЦ2022 года)
Расчет на 2023 год составляет 515,7*1,042 (ИПЦ2023 года)</t>
  </si>
  <si>
    <t>Расчет затрат Учреждения на услуги по сопровождению программы ЭВМ и баз данных ГРАНД-смета  на 2021 год произведен в соответствии с расчетом НМЦК (без ИПЦ)
Расчет на 2021 год составляет 111,9 тыс.руб. = 5 чел * 22,38 тыс. руб.
Расчет на 2022 год составляет 111,9 *1,043 (ИПЦ2022 года)
Расчет на 2023 год составляет 116,7*1,042 (ИПЦ2023 года)</t>
  </si>
  <si>
    <t>Расчет затрат Учреждения на услуги по сопровождению программы "Сбис" на 2021 год произведен в соответствии с расчетом НМЦК по КП.
Расчет на 2021 год составляет 13,2 тыс.руб. = 1 (многопольз. лиценз) * 13,2 тыс. руб.
Расчет на 2022 год составляет 13,2*1,043 (ИПЦ2022 года)
Расчет на 2023 год составляет 13,8*1,042 (ИПЦ2023 года)</t>
  </si>
  <si>
    <t>Расчет затрат Учреждения на услуги по сопровождению программы  «Госфинансы» 
на 2021 год произведен в соответствии с расчетом НМЦК (без ИПЦ).
Расчет на 2021 год составляет 157,2 тыс.руб. =  5 чел * 78,6 тыс. руб.
Расчет на 2022 год составляет 157,2*1,043 (ИПЦ2022 года)
Расчет на 2023 год составляет 164,0*1,042 (ИПЦ2023 года)</t>
  </si>
  <si>
    <t>Расчет затрат Учреждения на услуги по сопровождению программы «Госзаказ» (1 подписка) на 2021 год произведен в соответствии с расчетом НМЦК (без ИПЦ)
Расчет на 2021 год составляет 108,4 тыс.руб. = 1 (многопольз. лиценз) * 108,4 тыс. руб.
Расчет на 2022 год составляет 108,4*1,043 (ИПЦ2022 года)
Расчет на 2023 год составляет 113,1*1,042 (ИПЦ2023 года)</t>
  </si>
  <si>
    <t>1.4.1</t>
  </si>
  <si>
    <t>1.4.3</t>
  </si>
  <si>
    <t>Расчет затрат Учреждения на поставку комплектующих для серверов "ЕГПП" на 2021 год произведен в соответствии с расчетом НМЦК (комплектующие 30 штук- модуль оперативной памяти, жесткий диск)
Расчет на 2021 год составляет 833,6 тыс. руб. = 30 (компл.) х 26,7 тыс. руб.х 1,041 (ИПЦ2021 года)
Расчет на 2022 год составляет 833,6х1,043 (ИПЦ2022 года)
Расчет на 2023 год составляет 869,5х1,042 (ИПЦ2023 года)</t>
  </si>
  <si>
    <t xml:space="preserve">Расчет нормативных затрат расчитан на основании факта оплаченных услуг в 2019 году на сумму 113,2 тыс. руб.
Расчет на 2021 год составляет 122,5 тыс. руб = 113,2 * 1,0397 (ИПЦ2020 года) * 1,041 (ИПЦ2021 года)
Расчет на 2022 год составляет 122,5*1,043 (ИПЦ2022 года)
Расчет на 2023 год составляет 127,8*1,042 (ИПЦ2023 года)
</t>
  </si>
  <si>
    <t>2.2.</t>
  </si>
  <si>
    <t>2.3.</t>
  </si>
  <si>
    <t>2.3.1.</t>
  </si>
  <si>
    <t xml:space="preserve">НМЦК на временное размещение оборудования на опорах системы наружного освещения по адресу: пл. Восстания (Лиговский пр., уч. 63, юго-восточнее д.10/118, лит.А по Лиговскому пр.)  121,7 тыс.руб.
Расчет на 2021 год составляет 126,7 тыс. руб. = 3 * 40,57 тыс. руб.*1,041 (ИПЦ2021 года) 
Расчет на 2022 год составляет 126,7*1,043 (ИПЦ2022 года)
Расчет на 2023 год составляет 132,1*1,042(ИПЦ2023 года). </t>
  </si>
  <si>
    <t>2.4.1</t>
  </si>
  <si>
    <t>2.4.2</t>
  </si>
  <si>
    <t>2.4.3</t>
  </si>
  <si>
    <t>2.4.4</t>
  </si>
  <si>
    <t>2.4.5</t>
  </si>
  <si>
    <t>2.4.6</t>
  </si>
  <si>
    <t>2.4.7</t>
  </si>
  <si>
    <t>2.4.8</t>
  </si>
  <si>
    <t>2.4.9</t>
  </si>
  <si>
    <t>2.4.10</t>
  </si>
  <si>
    <t>Расчет затрат на техническое обслуживание электроустановок на 2021 год произведен в соответствии с НМЦК на 2020 год. 
Расчет на 2021 год составляет 115,4 тыс. руб = 5 * 22,2 тыс. руб.*1,041 (ИПЦ2021 года)
Расчет на 2022 год составляет 115,4*1,043 (ИПЦ2022 года)
Расчет на 2023 год составляет 120,4*1,042 (ИПЦ2023 года)</t>
  </si>
  <si>
    <t>Затраты на оплату услуг почтовой связи</t>
  </si>
  <si>
    <t xml:space="preserve">Расчет нормативных затрат на услуги связи осуществляется исходя из следующих подгрупп затрат:
затраты на оплату услуг почтовой связи
</t>
  </si>
  <si>
    <t>2.1.1.</t>
  </si>
  <si>
    <t>Расчет затрат на услуги по техническому обслуживанию и текущему ремонту техники (колесные погрузчики 6 шт., автоэвакуаторы 2 шт.) на 2021 год произведен в соответствии с фактом 2019 года. 
Расчет на 2021 год составляет 1 612,6 тыс. руб. =  8 шт. тех * 186,2 тыс. руб.* 1,0397(ИПЦ2020 года) * 1,041 (ИПЦ2021 года)
Расчет на 2022 год составляет 1 612,6 *1,043 (ИПЦ2022 года)
Расчет на 2023 год составляет 1 681,9 *1,042 (ИПЦ2023 года)</t>
  </si>
  <si>
    <t>Расчет затрат на услуги по ремонту и обслуживанию мобильных бензиновых и дизельных электростанций (генераторов) на 2021 год произведен в соответствии с фактом 2019 года. 
Расчет на 2021 год составляет 108,1 тыс. руб. = 9 элект * 11,1 тыс. руб.*1,0397(ИПЦ2020 года) * 1,041 (ИПЦ2021 года)
Расчет на 2022 год составляет 108,1*1,043 (ИПЦ2022 года)
Расчет на 2023 год составляет 112,8*1,042 (ИПЦ2023 года)</t>
  </si>
  <si>
    <t>Расчет затрат на услуги  на техническое обслуживание и текущий ремонт автомобилей  16 лег. автомобилей на 2021 год произведен в соответствии с фактом 2019 года. Дополнительно вкл. по одному тех обслуживанию на 2 новых ТС (автомобили для рабочей бригады в зоне ЕГПП и на автостоянках) по средней стоимости ТО у официального дилера 11 883,33 руб. и 15 800 руб. 
Расчет на 2021 год составляет 2 280,5 (факт 2019 на 16 ТС)*1,0397(ИПЦ2020 года) * 1,041 (ИПЦ2021 года) + (11,9+15,8)*  1,041 (ИПЦ2021 года)
Расчет на 2022 год составляет 2 497,1*1,043 (ИПЦ2022 года)
Расчет на 2023 год составляет 2 604,5*1,042 (ИПЦ2023 года)</t>
  </si>
  <si>
    <t>Расчет затрат  на услуги по мойке 16 транспортных средств  на 2021 год произведен в соответствии с НМЦК на 2020 год. Дополнительно вкл. мойка 1 нового ТС  
Расчет на 2021 год составляет 771,3 тыс. руб. = 17 ТС * 43,6 тыс. руб. * 1,041 (ИПЦ2021 года)
Расчет на 2022 год составляет 771,3*1,043 (ИПЦ2022 года)
Расчет на 2023 год составляет 804,4*1,042 (ИПЦ2023 года)</t>
  </si>
  <si>
    <t>Расчет затрат определен в соответствии с НМЦК
Общая площадь уборки помещений 173 кв.м . Стоимость уборки сост. 27,33 руб./кв.м (НМЦК) , 2 раза в неделю
Расчет на 2021 год составляет 511,9 тыс. руб. = 173кв.м * 0,02733 тыс. руб.* 52 нед. * 1,041 (ИПЦ2021 года)
Расчет на 2022 год составляет 511,9*1,043 (ИПЦ2022 года)
Расчет на 2023 год составляет 533,9*1,042 (ИПЦ2023 года)</t>
  </si>
  <si>
    <t>2.4.10.1</t>
  </si>
  <si>
    <t>2.4.10.2</t>
  </si>
  <si>
    <t>2.4.10.3</t>
  </si>
  <si>
    <t>2.4.10.4</t>
  </si>
  <si>
    <t>2.4.10.5</t>
  </si>
  <si>
    <t>2.4.10.6</t>
  </si>
  <si>
    <t>2.4.10.7</t>
  </si>
  <si>
    <t xml:space="preserve">Поставка DLP-системы. Лицензированное ПО, защита от утечки перс данных
Расчет  затрат Учреждения на поставку  DLP-системы на 40 АРМ (лицензированное ПО) на 2021 год произведен  в соответствии с расчетом НМЦК (без ИПЦ).
Расчет на 2021 год составляет 928,3 тыс.руб.= 23,2 тыс.руб. х 40 АРМ 
НОВАЯ закупка для Снижения рисков и повышение общего уровня информационной безопасности
</t>
  </si>
  <si>
    <t>Стоимость оказания услуг по страхованию двух зданий по адресам: ул.Чайковского, д.22, лит.Е, по адресу: ул. Ивановская, д.36/2, лит. Б. составляет 29,7 тыс.руб. ( в соотв. с расчетом НМЦК на 2020 год )
Расчет на 2021 год составляет 29,7*1,041 (ИПЦ2021 года)
Расчет на 2022 год составляет 30,9*1,043 (ИПЦ2022 года)
Расчет на 2023 год составляет 32,2 *1,042 (ИПЦ2023 года).</t>
  </si>
  <si>
    <t xml:space="preserve">Стоимость оказания услуг по передаче электрической энергии для нужд автостоянки по адресу: ул. Грибакиных, уч. 115 составляет 19,8 тыс.руб. ( в соотв. с расчетом НМЦК на 2020 год )
Расчет на 2021 год составляет 19,8*1,041 (ИПЦ2021 года) 
Расчет на 2022 год составляет 20,6*1,043 (ИПЦ2022 года)
Расчет на 2023 год составляет 21,5*1,042(ИПЦ2023 года). </t>
  </si>
  <si>
    <t>Расчет затрат в соответствии с НМЦК на  2021 год сост. 10 382,40 руб.
Расчет на 2022 год составляет 10,4*1,043 (ИПЦ2022 года)
Расчет на 2023 год составляет 10,8*1,042 (ИПЦ2023 года)</t>
  </si>
  <si>
    <t>Расчет затрат определен в соответствии с НМЦК
Общая площадь фасадов 220 кв.м , стоимость 1 кв.м 31,67 руб. (НМЦК)
Расчет на 2021 год составляет 220 * 0,03167 тыс. руб. * 1,041 (ИПЦ2021 года)
Расчет на 2022 год составляет 7,3 *1,043 (ИПЦ2022 года)
Расчет на 2023 год составляет 7,6 *1,042 (ИПЦ2023 года)</t>
  </si>
  <si>
    <t>Расчет затрат определен в соответствии с НМЦК в размере 21,4 тыс. руб.
Расчет на 2021 год составляет 21,4 * 1,041 (ИПЦ2021 года)
Расчет на 2022 год составляет 22,3 *1,043 (ИПЦ2022 года)
Расчет на 2023 год составляет 23,2 *1,042 (ИПЦ2023 года)</t>
  </si>
  <si>
    <t>Оказание услуг по изготовлению евробуклетов для информирования владельцев транспортных средств, проживающих и/или работающих в непосредственной близости от находящихся в ведении СПб ГКУ "Городской центр управления парковками Санкт-Петербурга" городских автостоянок, в том числе перехватывающих, о возможности их использования для размещения транспортных средств.
Расчет затрат в соотв. с НМЦК, стоимость в ценах 2020 года 60 832,37 руб.
Расчет на 2021 год составляет 63,4 тыс. руб. = 5 219 шт. *  11,66 тыс.руб. * 1,041 (ИПЦ2021 года)</t>
  </si>
  <si>
    <t>2.7.2</t>
  </si>
  <si>
    <t>Расчет затрат Учреждения на услуги по предрейсовым медицинским осмотрам на 2021 год произведен в соответствии с НМЦК 2020 год Стоимость услуги за 1 мес. для водителей до 25 чел.сост. 82,3 тыс. руб.
Расчет на 2021 год составляет 1 028,1 тыс. руб. = 82,3 тыс. руб. (до 25 чел) *12 мес. *1,041 (ИПЦ2021 года)
Расчет на 2022 год составляет 1 028,1 *1,043 (ИПЦ2022 года)
Расчет на 2023 год составляет 1 072,3 * 1,042 (ИПЦ2023 года)</t>
  </si>
  <si>
    <t>Расчет затрат Учреждения на оказание услуг по проведению периодического, предварительного медицинского осмотра и психиатрического освидетельствования (медосмотр водителей) произведен в соответствии сНМЦК  на 2020 год на сумму 33,4 тыс.руб.
Расчет на 2021 год составляет 33,8 тыс. руб = 8 чел * 4,2 тыс. руб.*1,041 (ИПЦ2021 года)
Расчет на 2022 год составляет 34,8*1,043 (ИПЦ2022 года)
Расчет на 2023 год составляет 36,3*1,042 (ИПЦ2023 года)</t>
  </si>
  <si>
    <t>Расчет нормативных затрат на приобретение полисов обязательного страхования гражданской ответственности владельцев транспортных средств осуществляется по формуле:
НЗосаго = Кстс х Сстс,
где: НЗосаго - нормативные затраты приобретение полисов обязательного страхования гражданской ответственности;
Кстс - количество страхуемых транспортных средств;
Сстс - страховой тариф</t>
  </si>
  <si>
    <t>Расчет затрат Учреждения на услуг по обязательному страхованию гражданской ответственности владельцев автотранспортных средств (ОСАГО) произведен в соответствии с НМЦК на 2020 год на  сумму 146,7 тыс.руб. (ТС на балансе) + ОСАГО для 2 новых ТС ( объем двигателя 105 л.с - 7 041,32 руб, объем двигателя 120 л.с - 8 003,32 руб. по договору на 2020 г)
Расчет на 2021 год составляет 168,4 тыс. руб. = 146,7тыс. руб. (для 16 ТС) + 7,04132 тыс. руб. + 8,00332 тыс. руб. *1,041 (ИПЦ2021 года)
Расчет на 2022 год составляет 168,4 *1,043 (ИПЦ2022 года)
Расчет на 2023 год составляет 175,6 *1,042 (ИПЦ2023 года)</t>
  </si>
  <si>
    <t>Расчет нормативных затрат на приобретение мебели осуществляет исходя из нормативных затрат на приобретение комплекта мебели по формуле:
где: НЗмеб - нормативные затраты на приобретение комплекта мебели;
Нц меб - норматив цены комплекта мебели в расчете на одного работника ИОГВ (ОУ ТГВФ, КУ);
Чпр - прогнозируемая численность работников ИОГВ (ОУ ТГВФ, КУ);
Нспи меб - норматив срока полезного использования комплекта мебели;
Чпл - количество должностей, планируемых к замещению в ИОГВ (ОУ ТГВФ, КУ)</t>
  </si>
  <si>
    <t>Затраты на приобретение мебели</t>
  </si>
  <si>
    <t>2.5</t>
  </si>
  <si>
    <t>2.5.1</t>
  </si>
  <si>
    <t>2.5.2</t>
  </si>
  <si>
    <t>2.5.2.1</t>
  </si>
  <si>
    <t>2.5.2.2</t>
  </si>
  <si>
    <t>2.5.3</t>
  </si>
  <si>
    <t>2.6</t>
  </si>
  <si>
    <t xml:space="preserve">Расчет затрат Учреждения на закупку транспортных средств произведен в соответствии с расчетом НМЦК : 
- затраты на покупку автомобиля "Дорожный мастер" на сумму 1 439,4 тыс.руб. (НМЦК*ИПЦ); для оперативной перевозке рабочей бригады для устранения неполадок оборудования, а также возможностью производства работ по содержанию и ремонту имущества Учреждения, такие как: очистке загрязнений, мойке 
и окраске инженерных сооружений, скашивание травы и кустарника на территории автостоянок, ремонт оборудования и др.
- затраты на покупку легкового автомобиля на сумму 749,1 тыс.руб. (НМЦК*ИПЦ); для обслуживания зоны ЕГПП необходимы ежедневные объезды с целью осмотра работоспособности и корректной работы паркоматов, а также оперативной замены аккумуляторных батарей и ремонта оборудования
Расчет на 2021 год составляет 2 188,5 тыс. руб. = (1ТС * 1 382,67 тыс. руб. +1 ТС * 719,57 тыс. руб.) * 1,041 (ИПЦ2021 года)
</t>
  </si>
  <si>
    <t>2.8.2</t>
  </si>
  <si>
    <t>2.8.3</t>
  </si>
  <si>
    <t xml:space="preserve">Расчет затрат Учреждения на закупку 4 кубических емкостей для воды (для полива и уборки территории автостоянок) произведен в соответствии с расчетом НМЦК: 
Расчет на 2021 год составляет 63,5 тыс. руб = 4 шт. * 15,25 тыс. руб.*1,041(ИПЦ2021 года) 
</t>
  </si>
  <si>
    <t xml:space="preserve">Расчет затрат Учреждения на закупку 25 контейнеров для хранения пескосоляной смеси (для содержания автостоянок) произведен в соответствии с расчетом НМЦК: 
Расчет на 2021 год составляет 420,8 тыс. руб. = 25 шт. * 16,168 тыс. руб. *1,041(ИПЦ2021 года) </t>
  </si>
  <si>
    <t xml:space="preserve">Расчет затрат Учреждения на закупку  8 ручных пескоразбрасывателей ( для пескосоляной смеси на автостоянках) произведен в соответствии с расчетом НМЦК: 
Расчет на 2021 год составляет 177,7 тыс. руб.= 8 шт. * 21,336 тыс. руб. *1,041(ИПЦ2021 года) </t>
  </si>
  <si>
    <t xml:space="preserve">Расчет затрат Учреждения на закупку  4 газонокосилок (для покоса газонов на автостоянках, не учтенных в услуге  по покосу, сгребанию, уборки, вывозу и утилизации травы ) произведен в соответствии с расчетом НМЦК: 
Расчет на 2021 год составляет 103,3 тыс. руб. *  4 шт * 24,8 тыс. руб. *1,041(ИПЦ2021 года) </t>
  </si>
  <si>
    <t xml:space="preserve">Расчет затрат Учреждения на закупку  окрасочного аппарата (для нанесения дорожной разметки на асфальтном покрытии территории автостоянок) произведен в соответствии с расчетом НМЦК: 
Расчет на 2021 год составляет 229,0 тыс. руб. = 1 шт. *220,0 тыс. руб.*1,041(ИПЦ2021 года) </t>
  </si>
  <si>
    <t xml:space="preserve">Расчет затрат Учреждения на закупку  информационных стендов ( для информирования владельцев ТС на автостоянках, в  том числе для информирования в период Чемпионата Европы) произведен в соответствии с расчетом НМЦК: 
Расчет на 2021 год составляет 154,5 тыс. руб. = 8 шт. * 18,55 тыс. руб. *1,041(ИПЦ2021 года) </t>
  </si>
  <si>
    <t xml:space="preserve">Расчет затрат Учреждения на закупку банковских POS - терминалов произведен в соответствии с расчетом НМЦК (без ИПЦ): 
656,2 тыс. руб. = 23 433,33 рублей х 28 онлайн-касс (смарт-терминал)  /1000
Ранее терминалы предоставлялись ПАО «Сбербанк» на безвозмездной основе, посредством которых проводятся безналичные оплаты. В настоящее время договор с ПАО «Сбербанк» отсутствует. Учреждение обязано вернуть ранее переданные POS-терминалы. В целях сохранения возможности использования безналичного способа оплаты за размещение транспортных средств на автостоянках необходима закупка POS - терминалов </t>
  </si>
  <si>
    <t>Расчет затрат Учреждения на закупку  дооборудования системы контроля и управления доступом (СКУД). произведен в соответствии с расчетом НМЦК: 
Расчет на 2021 год составляет 279,1 тыс.руб.</t>
  </si>
  <si>
    <t xml:space="preserve">Затраты на выполнение работ по аварийному ремонту периферийного оборудования ГИС ЕГПП </t>
  </si>
  <si>
    <t>1.2.1</t>
  </si>
  <si>
    <t>1.2.2</t>
  </si>
  <si>
    <t>Расчет нормативных затрат на содержание имущества, осуществляется исходя из следующих подгрупп затрат:
- затраты на выполнение работ по аварийному ремонту периферийного оборудования ГИС ЕГПП;
- затраты на  заправку и восстановлению картриджей  для печатающей техники.</t>
  </si>
  <si>
    <t>2.6.1</t>
  </si>
  <si>
    <t>2.6.2</t>
  </si>
  <si>
    <t>2.6.3</t>
  </si>
  <si>
    <t>2.6.3.1</t>
  </si>
  <si>
    <t>2.6.3.2</t>
  </si>
  <si>
    <t>2.6.3.3</t>
  </si>
  <si>
    <t>2.6.3.4</t>
  </si>
  <si>
    <t>2.6.3.5</t>
  </si>
  <si>
    <t>2.6.3.6</t>
  </si>
  <si>
    <t>2.6.3.7</t>
  </si>
  <si>
    <t>2.6.3.8</t>
  </si>
  <si>
    <t>2.6.3.9</t>
  </si>
  <si>
    <t>2.7.</t>
  </si>
  <si>
    <t>2.7.4</t>
  </si>
  <si>
    <t>2.8.4</t>
  </si>
  <si>
    <t>2.5.4</t>
  </si>
  <si>
    <t>225/ 226</t>
  </si>
  <si>
    <t>Расчет нормативных затрат на приобретение основных средств осуществляется исходя из следующих подгрупп затрат:
затраты на приобретение транспортных средств
затраты на приобретение мебели;
иные затраты на приобретение основных средств</t>
  </si>
  <si>
    <t>Обоснование</t>
  </si>
  <si>
    <t xml:space="preserve">Расчет затрат на оказание услуг по определению гидрологических и морфометрических параметров водного объекта и обследование состояния водоохранных зон» на 2021 год произведен в соответствии с расчетом НМЦК на сумму 101,1 тыс.руб.
Расчет на 2021 год составляет 105,2 тыс. руб. = 101,1*1,041 (ИПЦ2021 года)
Расчет на 2022 год составляет 105,2*1,043 (ИПЦ2022 года)
Расчет на 2023 год составляет 109,8*1,042 (ИПЦ2023 года)
</t>
  </si>
  <si>
    <t>Расчет затрат Учреждения на оказание услуг по контролю качества сточных вод на автостоянке (по адресу: Санкт-Петербург. пос. Шушары, территория Пулковское, уч. 356.) на 2021 год произведен в соответствии с НМЦК год на сумму 171,9 тыс.руб.
Расчет на 2021 год составляет 178,9 тыс. руб =  171,9*1,041 (ИПЦ2021 года)
Расчет на 2022 год составляет 178,9*1,043 (ИПЦ2022 года)
Расчет на 2023 год составляет 186,6*1,042 (ИПЦ2023 года)
Учреждение обязано получить в управление водный бассейн для сброса сточных вод с автостоянки и ежеквартально предоставлять отчеты о качестве сточных вод и их влиянии на окружающую среду</t>
  </si>
  <si>
    <t xml:space="preserve">Расчет затрат на оказание услуг по предоставлению и размещению информационных табло на 2021 год произведен в соответствии с расчетом НМЦК  на сумму 1 455,1 тыс.руб.
Расчет на 2021 год составляет 1 514,8 тыс. руб. = 1455,1*1,041 (ИПЦ2021 года)
</t>
  </si>
  <si>
    <t>Расчет затрат на оплату услуг по санитарному обслуживанию мобильных туалетных кабин на 2021 год произведен в соответствии с фактом 2019 года. Всего 40 МТК. В 2019 оказано 276 услуг.
В соответствии с НМЦК обслуживание 1 МТК - 1 252,21 руб., разморозка МТК 3 611,64 руб. (40 разморозок в зимний период)
Расчет на 2021 год составляет (276*1 252,21 руб.)+(40*3 611,64 руб.)*1,041 (ИПЦ2021 года)
Расчет на 2022 год составляет 510,2*1,043 (ИПЦ2022 года)
Расчет на 2023 год составляет 532,1*1,042 (ИПЦ2023 года)</t>
  </si>
  <si>
    <t>Расчет затрат на услуги  по транспортировке отходов производства и потребления на 2021 год произведен в соответствии с фактом 2019 и 1 полугодия 2020 года. Объем на год сост. 406,5 куб.м., 542 вывоза (по 0,75 куб.м.) по 715,0 руб. (НМЦК)
Расчет на 2021 год составляет 542* 0,715*1,041 (ИПЦ2021 года)
Расчет на 2022 год составляет 403,4*1,043 (ИПЦ2022 года)
Расчет на 2023 год составляет 420,8*1,042 (ИПЦ2023 года)</t>
  </si>
  <si>
    <t>Расчет в соответствии с нормативами цены товаров,работ,услуг на 2021 год и плановый период 2022 и 2023 годов утвержденных распоряжение КЭПиСП от 15.05.2020 №49-р (п.22.8). Площадь газонов 15 873 кв.м.
Расчет на 2021 год - 15,57 руб. *15 873 кв.м = 247,1 тыс.руб.
Расчет на 2022 год -  16,24руб.*15 873 кв.м. = 257,8.тыс.руб.
Расчет на 2023 год - 16,92руб.*115 873 кв.м = 268,6 тыс.руб.</t>
  </si>
  <si>
    <t>Расчет затрат Учреждения услуг по оказанию услуг по обработке и передаче фискальных данных от контрольно-кассовой техники автостоянок в ФНС произведен в соответствии с расчетом НМЦК : 
Средняя цена услуги по НМЦК составляет 2,5 тыс.руб. за 1 кассу.
Срок действия услуги  15 (пятнадцать) месяцев. Таким образом: 
Обслуживание ККТ автостоянок потребуется
в 2021 году - 5 ККТ 
в 2022 году - 60 ККТ
Расчет на 2021 год составляет 2,5*5 = 12,5 тыс.руб.
Расчет на 2022 год составляет 2,5*60*1,043 = 156,6 (ИПЦ2022 года)
Расчет на 2023 год составляет 156,6*1,042 (ИПЦ2023 года)</t>
  </si>
  <si>
    <t>Расчет затрат Учреждения услуг по оказанию услуг по обработке и передаче фискальных данных от контрольно-кассовой техники паркоматов в ФНС произведен в соответствии с расчетом НМЦК : 
Средняя цена услуги по НМЦК составляет 2,5 тыс.руб. за 1 кассу.
Срок действия услуги  15 (пятнадцать) месяцев. Таким образом обслуживание ККТ  паркоматов в количестве 100  штук потребуется только с 2022 года. 
Расчет на 2021 год составляет 0 тыс.руб.
Расчет на 2022 год составляет 2,5*100*1,043 =  (ИПЦ2022 года)
Расчет на 2023 год составляет 260,8*1,042 (ИПЦ2023 года)</t>
  </si>
  <si>
    <r>
      <t xml:space="preserve">Расходы в соовт. с НМЦК на 2021 год составляют </t>
    </r>
    <r>
      <rPr>
        <b/>
        <i/>
        <sz val="11"/>
        <color theme="1"/>
        <rFont val="Times New Roman"/>
        <family val="1"/>
        <charset val="204"/>
      </rPr>
      <t>430,4 тыс. руб.</t>
    </r>
    <r>
      <rPr>
        <i/>
        <sz val="11"/>
        <color theme="1"/>
        <rFont val="Times New Roman"/>
        <family val="1"/>
        <charset val="204"/>
      </rPr>
      <t xml:space="preserve">:
1. Обучение 44-ФЗ - </t>
    </r>
    <r>
      <rPr>
        <b/>
        <i/>
        <sz val="11"/>
        <color theme="1"/>
        <rFont val="Times New Roman"/>
        <family val="1"/>
        <charset val="204"/>
      </rPr>
      <t>83,1 тыс. руб.</t>
    </r>
    <r>
      <rPr>
        <i/>
        <sz val="11"/>
        <color theme="1"/>
        <rFont val="Times New Roman"/>
        <family val="1"/>
        <charset val="204"/>
      </rPr>
      <t xml:space="preserve"> = 79 ,83 тыс. руб. (НМЦК) *1,041 (ИПЦ2021 года)
2. обучение охране труда - </t>
    </r>
    <r>
      <rPr>
        <b/>
        <i/>
        <sz val="11"/>
        <color theme="1"/>
        <rFont val="Times New Roman"/>
        <family val="1"/>
        <charset val="204"/>
      </rPr>
      <t>14,2 тыс. руб.</t>
    </r>
    <r>
      <rPr>
        <i/>
        <sz val="11"/>
        <color theme="1"/>
        <rFont val="Times New Roman"/>
        <family val="1"/>
        <charset val="204"/>
      </rPr>
      <t xml:space="preserve"> =  13,62 тыс. руб (цена по договору 2020 года для 6 чел) *1,041 (ИПЦ2021 года)
3. обучение пожарно-техническому минимуму - </t>
    </r>
    <r>
      <rPr>
        <b/>
        <i/>
        <sz val="11"/>
        <color theme="1"/>
        <rFont val="Times New Roman"/>
        <family val="1"/>
        <charset val="204"/>
      </rPr>
      <t xml:space="preserve">13,2 тыс. руб. </t>
    </r>
    <r>
      <rPr>
        <i/>
        <sz val="11"/>
        <color theme="1"/>
        <rFont val="Times New Roman"/>
        <family val="1"/>
        <charset val="204"/>
      </rPr>
      <t xml:space="preserve">= 10 чел * 1,26667 тыс. руб (НМЦК) * 1,041 (ИПЦ2021 года)
3. обучение электробезопасности и теплоэнергетике </t>
    </r>
    <r>
      <rPr>
        <b/>
        <i/>
        <sz val="11"/>
        <color theme="1"/>
        <rFont val="Times New Roman"/>
        <family val="1"/>
        <charset val="204"/>
      </rPr>
      <t>45,5</t>
    </r>
    <r>
      <rPr>
        <i/>
        <sz val="11"/>
        <color theme="1"/>
        <rFont val="Times New Roman"/>
        <family val="1"/>
        <charset val="204"/>
      </rPr>
      <t xml:space="preserve"> </t>
    </r>
    <r>
      <rPr>
        <b/>
        <i/>
        <sz val="11"/>
        <color theme="1"/>
        <rFont val="Times New Roman"/>
        <family val="1"/>
        <charset val="204"/>
      </rPr>
      <t xml:space="preserve">тыс. руб. </t>
    </r>
    <r>
      <rPr>
        <i/>
        <sz val="11"/>
        <color theme="1"/>
        <rFont val="Times New Roman"/>
        <family val="1"/>
        <charset val="204"/>
      </rPr>
      <t xml:space="preserve">= 7 чел * 6 тыс. руб. (цена по договору на 2019 год за 1 чел)*1,0397 (ИПЦ2020) * 1,041 (ИПЦ2021 года), 
4. повышение квалификации по информационной безопасности - </t>
    </r>
    <r>
      <rPr>
        <b/>
        <i/>
        <sz val="11"/>
        <color theme="1"/>
        <rFont val="Times New Roman"/>
        <family val="1"/>
        <charset val="204"/>
      </rPr>
      <t>244,0</t>
    </r>
    <r>
      <rPr>
        <i/>
        <sz val="11"/>
        <color theme="1"/>
        <rFont val="Times New Roman"/>
        <family val="1"/>
        <charset val="204"/>
      </rPr>
      <t xml:space="preserve"> </t>
    </r>
    <r>
      <rPr>
        <b/>
        <i/>
        <sz val="11"/>
        <color theme="1"/>
        <rFont val="Times New Roman"/>
        <family val="1"/>
        <charset val="204"/>
      </rPr>
      <t xml:space="preserve">тыс. руб. </t>
    </r>
    <r>
      <rPr>
        <i/>
        <sz val="11"/>
        <color theme="1"/>
        <rFont val="Times New Roman"/>
        <family val="1"/>
        <charset val="204"/>
      </rPr>
      <t xml:space="preserve">(НМЦК  5 курсов) ИПЦ не применяется, 
5. обучение сотрудников отдела бухгалтерского учета (программа повышения квалификации) - </t>
    </r>
    <r>
      <rPr>
        <b/>
        <i/>
        <sz val="11"/>
        <color theme="1"/>
        <rFont val="Times New Roman"/>
        <family val="1"/>
        <charset val="204"/>
      </rPr>
      <t>30,4</t>
    </r>
    <r>
      <rPr>
        <i/>
        <sz val="11"/>
        <color theme="1"/>
        <rFont val="Times New Roman"/>
        <family val="1"/>
        <charset val="204"/>
      </rPr>
      <t xml:space="preserve"> </t>
    </r>
    <r>
      <rPr>
        <b/>
        <i/>
        <sz val="11"/>
        <color theme="1"/>
        <rFont val="Times New Roman"/>
        <family val="1"/>
        <charset val="204"/>
      </rPr>
      <t xml:space="preserve">тыс. руб. </t>
    </r>
    <r>
      <rPr>
        <i/>
        <sz val="11"/>
        <color theme="1"/>
        <rFont val="Times New Roman"/>
        <family val="1"/>
        <charset val="204"/>
      </rPr>
      <t xml:space="preserve">(НМЦК) ИПЦ не применяется
Расходы на 2022 год составляют </t>
    </r>
    <r>
      <rPr>
        <b/>
        <i/>
        <sz val="11"/>
        <color theme="1"/>
        <rFont val="Times New Roman"/>
        <family val="1"/>
        <charset val="204"/>
      </rPr>
      <t>107,7 тыс. руб.</t>
    </r>
    <r>
      <rPr>
        <i/>
        <sz val="11"/>
        <color theme="1"/>
        <rFont val="Times New Roman"/>
        <family val="1"/>
        <charset val="204"/>
      </rPr>
      <t xml:space="preserve"> =
(14,2 тыс. руб. (обучение охране труда ) +  14,2 тыс. руб (охрана труда) + 13,2 тыс. руб. (ПТМ) + 45,5 тыс. руб. ( электробезопасность и теплоэнергетика)) *1,043 (ИПЦ2022 года)
Расходы  на 2023 год составляют </t>
    </r>
    <r>
      <rPr>
        <b/>
        <i/>
        <sz val="11"/>
        <color theme="1"/>
        <rFont val="Times New Roman"/>
        <family val="1"/>
        <charset val="204"/>
      </rPr>
      <t>112,3 тыс. руб.</t>
    </r>
    <r>
      <rPr>
        <i/>
        <sz val="11"/>
        <color theme="1"/>
        <rFont val="Times New Roman"/>
        <family val="1"/>
        <charset val="204"/>
      </rPr>
      <t xml:space="preserve"> = 107,7 *1,042 (ИПЦ2023 года)</t>
    </r>
  </si>
  <si>
    <t>Расчет затрат Учреждения на услугу по проведению специальной оценки условий труда условий труда (СОУТ) на 2021 год произведен в соответствии НМЦК на 2020 год.
Расчет на 2021 год составляет  65,0*1,041 (ИПЦ2021 года)
Расчет на 2022 год составляет 67,7*1,043 (ИПЦ2022 года)
Расчет на 2023 год составляет 70,6*1,042 (ИПЦ2023 года)</t>
  </si>
  <si>
    <t>Расчет затрат Учреждения на услугу произведен на основании НМЦК без применения ИПЦ</t>
  </si>
  <si>
    <t>Расчет затрат Учреждения на услугу по поставке стеклоомывающей жидкости на 2021 год произведен в соответствии с НМЦК на 2020 год. Необходимо 234 канистры. Стоимость канистры 185 руб.
Расчет на 2021 год составляет  234*0,185*1,041 (ИПЦ2021 года)
Расчет на 2022 год составляет 45,1*1,043 (ИПЦ2022 года)
Расчет на 2023 год составляет 47,0*185,0*1,042 (ИПЦ2023 года)</t>
  </si>
  <si>
    <t>Чистящие средства для парковочного оборудования в кол-ве 4 735 шт. 
Стоимость определена в соовтетсвии с расчетом НМЦК 
Расчет на 2021 год составляет 521,1 тыс. руб (НМЦК) без ИПЦ
Расчет на 2022 год составляет 521,1 тыс. руб.*1,043 (ИПЦ2022 года)
Расчет на 2023 год составляет 543,5 *1,042 (ИПЦ2023 года)</t>
  </si>
  <si>
    <t>Расчет затрат Учреждения по поставке товаров на 2021 год произведен в соответствии с фактом 2019 года 
Расчет на 2021 год составляет 124 409,04 руб. * 1,0397 (ИПЦ 2020) 1,041 (ИПЦ2021 года)
Расчет на 2022 год составляет 134,7 тыс. руб.*1,043 (ИПЦ2022 года)
Расчет на 2023 год составляет 140,4 тыс. руб.*1,042 (ИПЦ2023 года) * ИПЦ 2021</t>
  </si>
  <si>
    <t>Расчет затрат Учреждения на оказание услуг по поставке картриджей  для печатающей техники на 2021 год произведен в соответствии с расчетом НМЦК на сумму 346,2 тыс.руб. 
Расчет на 2021 год составляет 346,2*1,041 (ИПЦ2021 года)
Расчет на 2022 год составляет 360,4*1,043 (ИПЦ2022 года)
Расчет на 2023 год составляет 375,9*1,042 (ИПЦ2023 года)</t>
  </si>
  <si>
    <t>2.4.10.8</t>
  </si>
  <si>
    <t>2.4.10.9</t>
  </si>
  <si>
    <t>2.4.10.10</t>
  </si>
  <si>
    <t>2.4.10.11</t>
  </si>
  <si>
    <t>2.4.10.12</t>
  </si>
  <si>
    <t>2.4.10.13</t>
  </si>
  <si>
    <t>2.4.10.14</t>
  </si>
  <si>
    <t>2.4.10.15</t>
  </si>
  <si>
    <t>2.4.10.16</t>
  </si>
  <si>
    <t>2.4.10.17</t>
  </si>
  <si>
    <t>2.4.10.18</t>
  </si>
  <si>
    <t>Затраты на оказание услуг по определению гидрологических и морфометрических параметров водного объекта и обследование состояния водоохранных зон</t>
  </si>
  <si>
    <t>Затраты на механизированную зимнюю уборку территории автостоянок</t>
  </si>
  <si>
    <t>Расчет затрат Учреждения на услуги Услуги по утилизацию имущества на 2021 год произведен в соответствии в соответствии сНМЦК 2020 года на 29,3 тыс.руб. 
Расчет на 2021 год составляет 29,3*1,041 (ИПЦ2021 года)
Расчет на 2022 год составляет 30,5*1,043 (ИПЦ2022 года)
Расчет на 2023 год составляет 31,8*1,042 (ИПЦ2023 года)</t>
  </si>
  <si>
    <t>ВСЕГО</t>
  </si>
  <si>
    <t xml:space="preserve">Расчет затрат Учреждения на закупку  мойки высокого давления (для уборки тер-ии автостоянок) произведен в соответствии с расчетом НМЦК: 
Расчет на 2021 год составляет 48,9 тыс. руб. = 1 шт * 47,0 тыс. руб.*1,041(ИПЦ2021 года) </t>
  </si>
  <si>
    <t>Расчет затрат на информационно-коммуникационные технологии осуществляется исходя из следующих групп затрат:
- затраты на услуги связи;
- затраты на содержание имущества;
- затраты на приобретение прочих работ и услуг, не относящихся к затратам на услуги связи, аренду и содержание имущества;
- затраты на приобретение материальных запасов в сфере информационно-коммуникационных технологий;
- иные затраты в сфере информационно-коммуникационных технологий.</t>
  </si>
  <si>
    <t>Затраты на оплату услуг по сопровождению программного обеспечения и приобретению простых (неисключительных) лицензий на использование программного обеспечения (1С, сметные программы, неисключительные права на ПО)</t>
  </si>
  <si>
    <t>Расчет нормативных затрат на приобретение деталей для содержания оргтехники (принтеров, многофункциональных устройств и копировальных аппаратов) осуществляется по формуле:
НЗдет орг = Нц дет орг x НЗорг,
где: НЗдет орг - нормативные затраты на приобретение деталей для содержания оргтехники (принтеров, многофункциональных устройств и копировальных аппаратов);
Нц дет орг - норматив цены приобретения деталей для содержания оргтехники (принтеров, многофункциональных устройств и копировальных аппаратов);
НЗорг - нормативные затраты на приобретение оргтехники (приобретение принтеров, многофункциональных устройств, копировальных аппаратов)</t>
  </si>
  <si>
    <t>Расчет нормативных затрат на временное размещение оборудования на опорах системы наружного освещения осуществляется по формуле:
НЗвро = Кокс x Сразм,
где: НЗвро - нормативные затраты на временное размещение оборудования;
Кокс - количество опор контактной сети;
Сразм - стоимость услуги по размещению оборудования,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</si>
  <si>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на техническое обслуживание электроустановок осуществляется по формуле:
НЗтоэ = Кэу x Собс эу,
где: НЗтоэ - нормативные затраты на  техническое обслуживание 
электроустановок;
Кэу - количество электроустановок;
Собс эу - стоимость обслуживания  электроустановок,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</si>
  <si>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по ремонту и обслуживанию мобильных бензиновых и дизельных электростанций (генераторов) осуществляется по формуле:
НЗобэл = Кэл x Собэл,
где: НЗобэл - нормативные затраты на  обслуживание и ремонт электростанций;
Кэл - количество электростанций;
Собэл - средняя стоимость тех.обслуживания и ремонта электростанции,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</si>
  <si>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на техническое обслуживание и текущий ремонт автомобилей осуществляется по формуле:
НЗоравт = Кавт x Сор,
где: НЗоравт - нормативные затраты на  обслуживание и ремонт автомобилей;
Кавт - количество автомобилей;
Сор - стоимость технического обслуживания и ремонта автомобиля,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</si>
  <si>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по обслуживание контрольно-кассовых машин осуществляется по формуле:
НЗобккм = Кккм x (Соб х Моб + Сзфк),
где: НЗобккм - нормативные затраты обслуживание контрольно-кассовых машин;
Кккм - количество контрольно-кассовых машин ;
Соб - стоимость обслуживания контрольно-кассовой машины, определяемая в соответствии с положениями статьи 22 Закона 44-ФЗ и рассчитываемая на очередной финансовый год и на плановый период;
Моб - количество месяцев обслуживания контрольно-кассовой машины;
Сзфк -  стоимость замены фискального накопителя, определяемая в соответствии с положениями статьи 22 Закона 44-ФЗ и рассчитываемая на очередной финансовый год и на плановый период.</t>
  </si>
  <si>
    <t>Затраты на техническое обслуживание электроустановок</t>
  </si>
  <si>
    <t>Расчет нормативных затрат на приобретение печатной продукции осуществляется по формуле:
НЗпп = Кпп х Спп,
где: НЗпп - нормативные затраты на приобретение печатной продукции;
Кпп - количество печатной продукции;
Спп - стоимость за 1 единицу печатной продукции, определяемая в соответствии с положениями статьи 22 Закона 44-ФЗ и рассчитываемая на очередной финансовый год.</t>
  </si>
  <si>
    <t>Расчет нормативных затрат на уборку помещений осуществляется по формуле:
НЗуп = Ппом x Скв.м. х Нуб ,
где: НЗуп - нормативные затраты на уборку помещения;
Ппом - общая площадь помещения ;
Скв.м. - стоимость услуг по уборке за 1 кв.м. в неделю, определяемая в соответствии с положениями статьи 22 Закона 44-ФЗ и рассчитываемая на очередной финансовый год и на плановый период.;
Нуб - количество недель уборки помещений.</t>
  </si>
  <si>
    <t>Расчет нормативных затрат на страхование здания осуществляется по формуле:
НЗсз = Псз х Сстз,
где: НЗсз - нормативные затраты на страхование здания;
Псз - площадь здания;
Сстз - страховой тариф.</t>
  </si>
  <si>
    <t>Расчет затрат Учреждения на поставку  чековой ленты для автостоянок на 2021 год произведен в соответствии с НМЦК. Необходимо 1456 шт.ленты для 28 ККМ. Стоимость 1 шт. чековой ленты 14,0 руб.
Расчет на 2021 год составляет  1456*0,014*0,185*1,041 (ИПЦ2021 года)
Расчет на 2022 год составляет 21,2*1,043 (ИПЦ2022 года)
Расчет на 2023 год составляет 22,1*185,0*1,042 (ИПЦ2023 года)</t>
  </si>
  <si>
    <t>2.7.5</t>
  </si>
  <si>
    <t>Затраты на приобретения иных материальных запасов</t>
  </si>
  <si>
    <t>Затраты на приобретение иных основных средств</t>
  </si>
  <si>
    <t>2.7.5.1</t>
  </si>
  <si>
    <t>2.7.5.2</t>
  </si>
  <si>
    <t>2.7.5.3</t>
  </si>
  <si>
    <t>2.7.5.4</t>
  </si>
  <si>
    <t>2.7.5.5</t>
  </si>
  <si>
    <t>2.7.5.6</t>
  </si>
  <si>
    <t>2.7.5.7</t>
  </si>
  <si>
    <t>2.7.5.8</t>
  </si>
  <si>
    <t>2.7.5.9</t>
  </si>
  <si>
    <t>2.7.5.10</t>
  </si>
  <si>
    <t>Расчет нормативных затрат на приобретение материальных запасов, не отнесенных к затратам, указанным в подпунктах "а" - "ж" пункта 6 Общих правил, осуществляется исходя из следующих подгрупп затрат: Расчет нормативных затрат на приобретение материальных запасов, не отнесенных к затратам, указанным в подпунктах "а" - "ж" пункта 6 Общих правил, осуществляется исходя из следующих подгрупп затрат:
затраты на приобретение канцелярских принадлежностей;
затраты на приобретение хозяйственных товаров и принадлежностей;
затраты на приобретение горюче-смазочных материалов;
затраты на приобретение запасных частей для транспортных средств;
затраты на приобретение иных материальных запасов</t>
  </si>
  <si>
    <t xml:space="preserve">Затраты на оплату типографских работ и услуг
</t>
  </si>
  <si>
    <t>Затраты на содержание иного имущества</t>
  </si>
  <si>
    <t xml:space="preserve">Расчет нормативных затрат на содержание имущества осуществляется исходя из следующих подгрупп затрат:
Затраты на временное размещение оборудования на опорах системы наружного освещения;
Затраты на техническое обслуживание электроустановок;
Затраты на техническое обслуживание и текущий ремонт техники;
Затраты на оплату услуг по ремонту и обслуживанию мобильных бензиновых и дизельных электростанций (генераторов);
Затраты на техническое обслуживание и текущий ремонт автомобилей;
Затраты на мойку транспортных средств;
Затраты на оказание услуг по обслуживание контрольно-кассовых машин;
Затраты на уборку помещений;
Затраты на сопровождение автоматизированных парковочных систем;
Затраты на содержание иного имущества.
</t>
  </si>
  <si>
    <t xml:space="preserve">Расчет нормативных затрат на передачу данных с использованием информационно-телекоммуникационной сети "Интернет" осущетсвляется по формуле:
НЗпд = Спд х Кск 
где: НЗпд - нормативные затраты на передачу данных ;
Спд -  стоимость услуги по передаче данных, определяемая в соответствии с положениями статьи 22 Закона 44-ФЗ и рассчитываемая на очередной финансовый год и на плановый период;
Кск - количество сим-карт.
</t>
  </si>
  <si>
    <r>
      <t xml:space="preserve">Расчет прочих нормативных затрат (в том числе нормативных затрат на закупку товаров, работ и услуг в целях оказания государственных услуг (выполнения работ) и реализации государственных функций), не указанных в подпунктах "а" - "ж" пункта 6 Общих правил, осуществляется исходя из следующих групп затрат
- </t>
    </r>
    <r>
      <rPr>
        <sz val="12"/>
        <color theme="1"/>
        <rFont val="Times New Roman"/>
        <family val="1"/>
        <charset val="204"/>
      </rPr>
      <t xml:space="preserve">затраты на услуги связи;
- затраты на коммунальные услуги;
- затраты на аренду помещений и оборудования;
- затраты на содержание имущества;
- затраты на приобретение прочих работ и услуг, не относящихся к затратам на услуги связи, транспортные услуги, оплату расходов по договорам об оказании услуг, связанных с проездом и наймом жилого помещения в связи с командированием работников, заключаемым со сторонними организациями, а также к затратам на коммунальные услуги, аренду помещений и оборудования, содержание имущества;
- затраты на приобретение основных средств;
- затраты на приобретение материальных запасов, не отнесенные к затратам, указанным в подпунктах "а" - "ж" пункта 6 Общих правил;
- иные прочие затраты, не отнесенные к иным затратам, указанным в подпунктах "а" - "ж" пункта 6 Общих правил
</t>
    </r>
  </si>
  <si>
    <t xml:space="preserve">
Расчет нормативных затрат на коммунальные услуги осуществляется в соовтетсвии с  протоколом согласования лимитов потребления топливно-энергетических ресурсов и воды главным распорядителям и получателям средств бюджета Санкт-Петербурга на 2020 год, а также информации о прогнозируемых на 2021 - 2023 гг. темпах роста цен (тарифов), подлежащих государственному регулированию, предоставленной Комитетом по тарифам Санкт-Петербурга, исходя из следующих подгрупп затрат:
затраты на электроснабжение;
затраты на теплоснабжение;
затраты на горячее водоснабжение;
затраты на холодное водоснабжение и водоотведение
</t>
  </si>
  <si>
    <t>Расчет нормативных затрат на техническое обслуживание и текущий ремонт техники (колесные погрузчики, автоэвакуаторы) осуществляется по формуле:
НЗто тех = Ктех x Сто тех,
где: НЗто тех - нормативные затраты на  техническое обслуживание и текущий ремонт техники;
Ктех - количество техники;
Сто тех - стоимость технического обслуживания 1 ед. техники,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</si>
  <si>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на сопровождение автоматизированных парковочных систем осуществляется по формуле:
НЗсапс = Капс x Ссапс,
где: НЗсапс - нормативные затраты на сопровождение автоматизированных парковочных систем (АПС);
Капс - количество  АПС;
Сапс - стоимость сопровождения 1 АПС,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</si>
  <si>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на заправку и восстановлению картриджей  для печатающей техники осуществляется по формуле:
НЗзвк =         Kзвi x Cзвi,
где: НЗзвк - нормативные затраты на заправку и восстановлению картриджей;
Кзвi - количество заправок и восстановлений i-ых картриджей;
Сзвi - стоимость заправки и восстановления i-ых картриджей,  определяемая в соответствии с положениями статьи 22 Закона 44-ФЗ и рассчитываемая на очередной финансовый год и на плановый период;
i - тип картриджей.</t>
  </si>
  <si>
    <r>
      <t xml:space="preserve">Расчет нормативных затрат на оплату услуг почтовой связи осуществляется по формуле:
НЗпус=  </t>
    </r>
    <r>
      <rPr>
        <sz val="8"/>
        <color theme="1"/>
        <rFont val="Times New Roman"/>
        <family val="1"/>
        <charset val="204"/>
      </rPr>
      <t xml:space="preserve">            </t>
    </r>
    <r>
      <rPr>
        <sz val="12"/>
        <color theme="1"/>
        <rFont val="Times New Roman"/>
        <family val="1"/>
        <charset val="204"/>
      </rPr>
      <t>Kпусi x Cпусi, где:
НЗпус - нормативные затраты на оплату услуг почтовой связи;
Kпусi - планируемое количество i-ых почтовых отправлений в год;
Cпусi - цена 1 i-ого почтового отправления с учетом его веса, определяемое в соответствии с тарифами на основные и дополнительные услуги, утвержденными приказом УФПС г. Санкт-Петербурга и Ленинградской области – филиала ФГУП «Почта России» и в соответствии с положениями статьи 22 Закона 44-ФЗ и рассчитываемая  на очередной финансовый год и на плановый период; 
i - вид почтового отправления.</t>
    </r>
  </si>
  <si>
    <t>Расчет нормативных иных затрат на содержание имущества осуществляется исходя из следующих подгрупп затрат:
Затраты на передачу электрической энергии; Затраты на технический осмотр транспортных средств;Затраты на долевое участие в содержании и ремонте мест общего пользования нежилого помещения; Затраты на чистку от снега кровли зданий; Затраты на мойку фасадов;
Затраты на подготовку системы отопления здания; Затраты на оказание услуг по определению гидрологических и морфометрических параметров водного объекта и обследование состояния водоохранных зон; Затраты на оказание услуг по контролю качества сточных вод на автостоянке; Затраты на услуги по утилизации имущества; Затраты на оказание услуг по вывозу снега с автостоянок; Затраты на механизированную зимнюю уборку территории автостоянок; Затраты на покос, сгребание, уборку, вывоз и утилизацию травы (на автостоянках); Затраты на оплату услуг по санитарному обслуживанию мобильных туалетных кабин; Затраты на оказание услуг по транспортировке отходов производства и потребления; Затраты на обеспечение эквайринга на автоматизированных парковочных системах; Затраты на обеспечение возможности оплаты парковочной сессии и приема платежей и зачислению денежных средств в казначейство на лицевой счет администратора доходов; Затраты на обработку и передачу фискальных данных от ККТ в ФНС.
и осуществляется по формуле:
НЗиси=          Qисиi x Pисиi, где:
НЗиси - нормативные затраты на содержание иного имущества;
Qисиi - количество необходимых i-ых услуг и работ по содержанию иного имущества;
Pисиi - стоимость  i-ых услуг и работ по содержанию иного имущества, определяемая в соответствии с положениями статьи 22 Закона 44-ФЗ и рассчитываемая на очередной финансовый год и на плановый период;
i - вид услуг и работ.</t>
  </si>
  <si>
    <t>Расчет нормативных затрат на приобретение горюче-смазочных материалов осуществляется по формуле:
НЗгсм =           Кгсмi x Сгсмi,
где: НЗгсм - нормативные затраты на приобретение горюче-смазочных материалов;
Кгсмi - планируемое к приобретению количество i-ых горюче-смазочных материалов;
Сгсмi - стоимость 1 единицы i-ых горюче-смазочных материалов, определяемая в соответствии с положениями статьи 22 Закона 44-ФЗ и рассчитываемая на очередной финансовый год и плановый период.
i - вид горюче-смазочных материалов.</t>
  </si>
  <si>
    <t>х</t>
  </si>
  <si>
    <t xml:space="preserve">Расчет нормативных затрат на приобретение иных основных средств осуществляется исходя из следующих подгрупп затрат: 
Затраты на оборудование системы контроля и управления доступом (СКУД); 
Затраты на поставку кубических емкостей для воды; 
Затраты на поставку контейнеров для хранения пескосоляной смеси; 
Затраты на поставку пескоразбрасывателей; 
Затраты на поставку мойки высокого давления; 
Затраты на поставку газонокосилок; 
Затраты на поставку окрасочного аппарата; 
Затраты на поставку информационных стендов; 
Затраты на поставку банковских POS - терминалов (терминалов эквайринга)
и осуществляется по формуле:
НЗпос =          Косi х Сосi,
где: НЗпос - нормативные затраты приобретение иных основных средств;
Косi - планируемое к приобретению количество i-ых основных средств;
Сосi - стоимость 1 ед. i-го основного средства, определяемая в соответствии с положениями статьи 22 Закона 44-ФЗ и рассчитываемая на очередной финансовый год;
i - тип иных основных средств.
</t>
  </si>
  <si>
    <t>Расчёт на поставку летних шин для легкового автомобиля произведён на основании данных «Реестра товаров для обеспечения нужд Санкт-Петербурга», представленного Санкт-Петербургским государственным бюджетным учреждением «Центр мониторинга и экспертизы цен» Комитета по государственному заказу Санкт-Петербурга.
Расчет на 2021 год составляет 222,8 тыс. руб = 3344,8 руб.*16 ТС*4 шины*1,041 (ИПЦ2021 года)/ 1000
Расчет на 2022 год : *1,043 (ИПЦ2022 года)
Расчет на 2023 год : *1,042 (ИПЦ2023 года).</t>
  </si>
  <si>
    <t xml:space="preserve">Расчет нормативных затрат на оказание услуг по предоставлению доступа к сети Интернет по технологическим каналам связи  осуществляется по формуле:
НЗпди = Спди х Ккс 
где: НЗпди - нормативные затраты по предоставлению доступа  к сети Интернет;
Спди - стоимость услуг по предоставлению доступа к сети Интернет по технологическим каналам связи, определяемая в соответствии с положениями статьи 22 Закона 44-ФЗ и рассчитываемая на очередной финансовый год и на плановый период;
Ккс - количество каналов связи.
</t>
  </si>
  <si>
    <t>Расчет нормативных затрат на выполнение работ по аварийному ремонту периферийного оборудования ГИС ЕГПП осуществляется по формуле:
НЗар = Кпоб (Кр х Ср + Спо) 
где: НЗар - нормативные затраты на аварийный ремонт периферийного оборудования;
Кпоб - количество периферийного оборудования;
Кр - количество необходимых работ и услуг по  ремонту 1 единицы оборудования;
Ср -  стоимость работ и услуг по  ремонту 1 единицы оборудования, определяемая в соответствии с положениями статьи 22 Закона 44-ФЗ и рассчитываемая на очередной финансовый год и на плановый период;
Спо - стоимость обновления программного обеспечения для 1 единицы оборудования, определяемая в соответствии с положениями статьи 22 Закона 44-ФЗ и рассчитываемая на очередной финансовый год и на плановый период.</t>
  </si>
  <si>
    <t xml:space="preserve">Расчет нормативных затрат  на поставку DLP-системы осуществляется по формуле:
НЗсби = Ссби х Карм 
где: НЗсби - нормативные затраты на приобретение системы безопасности информации;
Ссби - стоимость установки системы безопасности, определяемая в соответствии с положениями статьи 22 Закона 44-ФЗ и рассчитываемая на очередной финансовый год и на плановый период;
Карм - количество автоматизированных рабочих мест.
</t>
  </si>
  <si>
    <r>
      <t>Расчет нормативных затрат на поставку комплектующих для серверов единого городского парковочного пространства осуществляется по формуле:
НЗкс =</t>
    </r>
    <r>
      <rPr>
        <sz val="8"/>
        <color theme="1"/>
        <rFont val="Times New Roman"/>
        <family val="1"/>
        <charset val="204"/>
      </rPr>
      <t xml:space="preserve">             </t>
    </r>
    <r>
      <rPr>
        <sz val="12"/>
        <color theme="1"/>
        <rFont val="Times New Roman"/>
        <family val="1"/>
        <charset val="204"/>
      </rPr>
      <t xml:space="preserve">Скомi x Ккомi,
где: НЗкс - нормативные затраты на поставку комплектующих для серверов;
Кком - количество i-ых комплектующих;
Ском -  стоимость i-ых комплектующих, определяемая в соответствии с положениями статьи 22 Закона 44-ФЗ и рассчитываемая на очередной финансовый год и на плановый период;
i - тип комплектующих.
</t>
    </r>
  </si>
  <si>
    <t>Расчет нормативных затрат  на мойку транспортных средств осуществляется по формуле:
НЗмтс = Ктс x См,
где: НЗмтс - нормативные затраты на мойку транспортных средств ;
Ктс - количество транспортных средств;
См - стоимость услуг по мойке транспортных средств, определяемая в соответствии с положениями статьи 22 Закона 44-ФЗ и рассчитываемая на очередной финансовый год и на плановый период.</t>
  </si>
  <si>
    <t>Расчет нормативных затрат на проведение предрейсового и послерейсового осмотра водителей транспортных средств осуществляется по формуле:
НЗпмтв = Чвтс х Спмо,
где: НЗпмтв - нормативные затраты на проведение предрейсовых медицинских осмотров водителей;
Чвтс - численность водителей транспортных средств;
Спмо -  стоимость проведения медицинского осмотра, определяемая в соответствии с положениями статьи 22 Закона 44-ФЗ и рассчитываемая на очередной финансовый год и плановый период.</t>
  </si>
  <si>
    <t>Расчет нормативных затрат приобретение транспортных средств осуществляется по формуле:
НЗтс = Ктс х Стс,
где: НЗтс - нормативные затраты приобретение транспортных средств;
Ктс - количество необходимых транспортных средств;
Стс - стоимость транспортного средства,  определяемая в соответствии с положениями статьи 22 Закона 44-ФЗ и рассчитываемая на очередной финансовый год.</t>
  </si>
  <si>
    <t>Расчет нормативных затрат на приобретение горюче-смазочных материалов осуществляется по формуле:
НЗзптс =          Кзпi x Сзпi,
где: НЗзптс - нормативные затраты на приобретение  запасных частей для транспортных средств;
Кзпi - планируемое к приобретению количество i-ых запасных частей;
Сзпi - стоимость 1 единицы i-ых запасных частей, определяемая в соответствии с положениями статьи 22 Закона 44-ФЗ и рассчитываемая на очередной финансовый год и плановый период;
i - вид запасных частей.</t>
  </si>
  <si>
    <t>Расчет иных прочих затрат, не отнесенные к иным затратам, указанным в подпунктах "а" - "ж" пункта 6 Общих правил, осуществляется исходя из следующих подгрупп затрат: 
Затраты на услуги по предоставлению и размещению информационных табло
Затраты на обучение
Затраты на проведение специальной оценки условий труда условий труда
Затраты на установку и настройку системы контроля и управления доступом (СКУД)
и осуществляется по формуле:
НЗпз =          Кпзi х Спзi,
где: НЗпз - нормативные затраты иных прочих затрат;
Кпзi - планируемое к приобретению количество i-ых иных прочих затрат;
Спзi - стоимость  i-ых иных прочих затрат, определяемая в соответствии с положениями статьи 22 Закона 44-ФЗ и рассчитываемая на очередной финансовый год;
i - тип иных прочих затрат.</t>
  </si>
  <si>
    <t xml:space="preserve">Расчет нормативных затрат на приобретение материальных запасов осуществляется исходя из следующих подгрупп затрат: 
Затраты на поставку бумаги 
Затраты на поставку чековой ленты для автостоянок
Затраты на поставку парковочных билетов для автостоянок
Затраты на поставку стеклоомывающей жидкости
Затраты на поставку воды для ручного полива
Затраты на поставку конусов сигнальных
Затраты на поставку рабочего инвентаря и расходных материалов для содержания автостоянок
Затраты на поставку чистящих средств для парковочного оборудования (паркоматы и АПС)
Затраты на поставку электротехнических материалов
Затраты на поставку картриджей для печатающих устройств
и осуществляется по формуле:
НЗпмз =          Кмзi х Смзi,
где: НЗпос - нормативные затраты приобретение иных материальных запасов;
Кмзi - планируемое к приобретению количество i-ых материальных запасов;
Сосi - стоимость i-ых материальных запасов, определяемая в соответствии с положениями статьи 22 Закона 44-ФЗ и рассчитываемая на очередной финансовый год;
i - тип иных материальных запасов.
</t>
  </si>
  <si>
    <t>Расчет в соответствии с нормативами цены товаров,работ,услуг на 2021 год и плановый период 2022 и 2023 годов утвержденных распоряжение КЭПиСП от 15.05.2020 №49-р. (п. 6 норматива) 
Расчет на 2021 год - 23 243*143(количество штатных сотрудников в офисе)/5 (срок полезного использования)*150% =  997,2 тыс.руб.
Расчет на 2022 год -  24 242*143(количество штатных сотрудников в офисе)/5 (срок полезного использования)*150% тыс.руб. = 1 040,0 тыс.руб
Расчет на 2023 год - 25 260*143(количество штатных сотрудников в офисе)/5 (срок полезного использования)*150% тыс.руб.= 1 083,7 тыс.руб.</t>
  </si>
  <si>
    <t xml:space="preserve">Расчет в соответствии с нормативами цены товаров, работ,услуг на 2021 год и плановый период 2022 и 2023 годов утвержденных распоряжение КЭПиСП от 15.05.2020 №49-р. 
Расчет на 2021 год - 50 работников/ 8 (срок полезного исп)* 40 393,00 руб.= 252,5 тыс.руб.
Расчет на 2022 год -  50 работников / 8 (срок полезного исп) * 42 130,00 руб. = 263,4 тыс.руб.
Расчет на 2023 год - 50 работников / 8 (срок полезного исп)* 43 899,00 руб.=274,4 тыс.руб.
По штатному расписанию 258 человек (105 чел. Категория "рабочий", + 1 техник + 9 специалистов тех. обслуживания ), расчет на 50 офис. работника. </t>
  </si>
  <si>
    <r>
      <t xml:space="preserve">Расчет затрат на услуги по механизированной погрузке, вывозу снега с </t>
    </r>
    <r>
      <rPr>
        <b/>
        <i/>
        <sz val="11"/>
        <color theme="1"/>
        <rFont val="Times New Roman"/>
        <family val="1"/>
        <charset val="204"/>
      </rPr>
      <t>утилизацией на снегоприемных пунктах</t>
    </r>
    <r>
      <rPr>
        <i/>
        <sz val="11"/>
        <color theme="1"/>
        <rFont val="Times New Roman"/>
        <family val="1"/>
        <charset val="204"/>
      </rPr>
      <t xml:space="preserve"> на 2021 год произведен в соответствии с НМЦК на 2020 год. 
Средний объем вывезенного снега за 2 года- 11 060,8 м3. Цена за 1м3 по НМЦК - 324,88 руб.
Расчет на 2021 год составляет 11 060,8м3*0,32488*1,041 (ИПЦ2021 года) = 3 740,8 тыс.руб.
Расчет на 2022 год составляет 3 740,8 *1,043 (ИПЦ2022 года)= 3 901,6 тыс.руб.
Расчет на 2023 год составляет 3 901,6 *1,042 (ИПЦ2023 года) = 4 065,5 тыс.руб.
</t>
    </r>
  </si>
  <si>
    <t>Расчет в соответствии с нормативами цены товаров,работ,услуг на 2021 год и плановый период 2022 и 2023 годов утвержденных распоряжение КЭПиСП от 15.05.2020 №49-р (п.22.3). Площадь автостоянок 144 355 кв.м. Необходима механизированная уборка в 2021 году 82 457,4 кв.м., в 2022 году 91 992,7 кв.м., в 2023 году 91 994,5 кв.м
Расчет на 2021 год - 23,48 руб.*82 457,4 кв.м =  1 936,1 тыс.руб.
Расчет на 2022 год -  24,49 руб.*91 992,7 кв.м. = 2 252,9 тыс.руб.
Расчет на 2023 год - 25,52 руб.*91 994,5 кв.м = 2 347,7тыс.руб.</t>
  </si>
  <si>
    <t xml:space="preserve">Расчет в соответствии с нормативами цены товаров, работ,услуг на 2021 год и плановый период 2022 и 2023 годов утвержденных распоряжение КЭПиСП от 15.05.2020 №49-р. 
Расчет на 2021 год - 51 работника * 10 229,00 руб.=  521,7 тыс.руб.
Расчет на 2022 год -  70 работников * 10 669,00 руб. = 746,9 тыс.руб.
Расчет на 2023 год - 70 работников * 11 117,00 руб.= 778,2 тыс.руб.
По штатному расписанию 258 человек (105 чел. Категория "рабочий", + 1 техник + 9 специалистов тех. обслуживания ), расчет на 143 офис. работника. </t>
  </si>
  <si>
    <t>1.4.2</t>
  </si>
  <si>
    <t xml:space="preserve">Расчет нормативных затрат на приобретение прочих работ и услуг, не относящихся к затратам на услуги связи, транспортные услуги, оплату расходов по договорам об оказании услуг, связанных с проездом и наймом жилого помещения в связи с командированием работников, заключаемым со сторонними организациями, а также к затратам на коммунальные услуги, аренду помещений и оборудования, содержание имущества, осуществляется исходя из следующих подгрупп затрат:
затраты на оплату типографских работ и услуг;
затраты на проведение предрейсового и послерейсового осмотра водителей транспортных средств;
затраты на приобретение полисов обязательного страхования гражданской ответственности владельцев транспортных средств;
затраты на страхование здания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</si>
</sst>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charset val="204"/>
      <scheme val="minor"/>
    </font>
    <font>
      <sz val="11"/>
      <color theme="1"/>
      <name val="Times New Roman"/>
      <family val="1"/>
      <charset val="204"/>
    </font>
    <font>
      <i/>
      <sz val="11"/>
      <color theme="1"/>
      <name val="Times New Roman"/>
      <family val="1"/>
      <charset val="204"/>
    </font>
    <font>
      <sz val="12"/>
      <color theme="1"/>
      <name val="Times New Roman"/>
      <family val="1"/>
      <charset val="204"/>
    </font>
    <font>
      <i/>
      <sz val="12"/>
      <color theme="1"/>
      <name val="Times New Roman"/>
      <family val="1"/>
      <charset val="204"/>
    </font>
    <font>
      <sz val="12"/>
      <color theme="1"/>
      <name val="Calibri"/>
      <family val="2"/>
      <charset val="204"/>
      <scheme val="minor"/>
    </font>
    <font>
      <b/>
      <sz val="12"/>
      <color theme="1"/>
      <name val="Times New Roman"/>
      <family val="1"/>
      <charset val="204"/>
    </font>
    <font>
      <sz val="11"/>
      <color rgb="FFFF0000"/>
      <name val="Calibri"/>
      <family val="2"/>
      <charset val="204"/>
      <scheme val="minor"/>
    </font>
    <font>
      <b/>
      <i/>
      <sz val="11"/>
      <color theme="1"/>
      <name val="Times New Roman"/>
      <family val="1"/>
      <charset val="204"/>
    </font>
    <font>
      <b/>
      <sz val="11"/>
      <name val="Calibri"/>
      <family val="2"/>
      <charset val="204"/>
      <scheme val="minor"/>
    </font>
    <font>
      <sz val="10"/>
      <name val="Arial"/>
      <family val="2"/>
      <charset val="204"/>
    </font>
    <font>
      <sz val="12"/>
      <name val="Times New Roman"/>
      <family val="1"/>
      <charset val="204"/>
    </font>
    <font>
      <sz val="14"/>
      <name val="Times New Roman"/>
      <family val="1"/>
      <charset val="204"/>
    </font>
    <font>
      <b/>
      <sz val="14"/>
      <color theme="1"/>
      <name val="Times New Roman"/>
      <family val="1"/>
      <charset val="204"/>
    </font>
    <font>
      <b/>
      <sz val="18"/>
      <color theme="1"/>
      <name val="Times New Roman"/>
      <family val="1"/>
      <charset val="204"/>
    </font>
    <font>
      <b/>
      <sz val="18"/>
      <name val="Times New Roman"/>
      <family val="1"/>
      <charset val="204"/>
    </font>
    <font>
      <b/>
      <i/>
      <sz val="18"/>
      <color theme="1"/>
      <name val="Times New Roman"/>
      <family val="1"/>
      <charset val="204"/>
    </font>
    <font>
      <sz val="14"/>
      <color theme="1"/>
      <name val="Calibri"/>
      <family val="2"/>
      <charset val="204"/>
      <scheme val="minor"/>
    </font>
    <font>
      <sz val="16"/>
      <color theme="1"/>
      <name val="Calibri"/>
      <family val="2"/>
      <charset val="204"/>
      <scheme val="minor"/>
    </font>
    <font>
      <i/>
      <sz val="14"/>
      <color theme="1"/>
      <name val="Times New Roman"/>
      <family val="1"/>
      <charset val="204"/>
    </font>
    <font>
      <sz val="16"/>
      <color rgb="FFFF0000"/>
      <name val="Calibri"/>
      <family val="2"/>
      <charset val="204"/>
      <scheme val="minor"/>
    </font>
    <font>
      <sz val="8"/>
      <color theme="1"/>
      <name val="Times New Roman"/>
      <family val="1"/>
      <charset val="204"/>
    </font>
    <font>
      <sz val="11"/>
      <color theme="0"/>
      <name val="Calibri"/>
      <family val="2"/>
      <charset val="204"/>
      <scheme val="minor"/>
    </font>
    <font>
      <sz val="12"/>
      <color theme="0"/>
      <name val="Calibri"/>
      <family val="2"/>
      <charset val="20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103">
    <xf numFmtId="0" fontId="0" fillId="0" borderId="0" xfId="0"/>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0" fontId="0" fillId="0" borderId="1" xfId="0" applyFont="1" applyFill="1" applyBorder="1"/>
    <xf numFmtId="0" fontId="3" fillId="0" borderId="1" xfId="0" applyFont="1" applyFill="1" applyBorder="1" applyAlignment="1">
      <alignment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0" fontId="3" fillId="0" borderId="1" xfId="0" applyFont="1" applyFill="1" applyBorder="1" applyAlignment="1">
      <alignment horizontal="left" vertical="top" wrapText="1"/>
    </xf>
    <xf numFmtId="0" fontId="2" fillId="0" borderId="2" xfId="0" applyFont="1" applyFill="1" applyBorder="1" applyAlignment="1">
      <alignment vertical="top" wrapText="1"/>
    </xf>
    <xf numFmtId="0" fontId="3"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wrapText="1"/>
    </xf>
    <xf numFmtId="0" fontId="0" fillId="0" borderId="0" xfId="0" applyFont="1" applyFill="1"/>
    <xf numFmtId="0" fontId="2" fillId="0" borderId="2" xfId="0" applyFont="1" applyFill="1" applyBorder="1" applyAlignment="1">
      <alignment horizontal="left" vertical="top" wrapText="1"/>
    </xf>
    <xf numFmtId="4" fontId="3"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top" wrapText="1"/>
    </xf>
    <xf numFmtId="0" fontId="1" fillId="0" borderId="1" xfId="0" applyFont="1" applyFill="1" applyBorder="1" applyAlignment="1">
      <alignment vertical="center" wrapText="1"/>
    </xf>
    <xf numFmtId="0" fontId="0" fillId="0" borderId="1" xfId="0" applyFill="1" applyBorder="1"/>
    <xf numFmtId="0" fontId="12" fillId="0" borderId="1" xfId="1"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1" xfId="0" applyFont="1" applyFill="1" applyBorder="1" applyAlignment="1">
      <alignment horizontal="left" vertical="top"/>
    </xf>
    <xf numFmtId="0" fontId="15" fillId="0" borderId="0" xfId="1" applyFont="1" applyFill="1" applyBorder="1" applyAlignment="1">
      <alignment horizontal="left" vertical="center" wrapText="1"/>
    </xf>
    <xf numFmtId="0" fontId="0" fillId="0" borderId="3" xfId="0" applyFont="1" applyFill="1" applyBorder="1" applyAlignment="1"/>
    <xf numFmtId="0" fontId="5" fillId="0" borderId="1" xfId="0" applyFont="1" applyFill="1" applyBorder="1"/>
    <xf numFmtId="0" fontId="18" fillId="0" borderId="1" xfId="0" applyFont="1" applyFill="1" applyBorder="1"/>
    <xf numFmtId="0" fontId="18" fillId="0" borderId="1" xfId="0" applyFont="1" applyFill="1" applyBorder="1" applyAlignment="1">
      <alignment vertical="top"/>
    </xf>
    <xf numFmtId="0" fontId="3" fillId="0" borderId="1" xfId="0" applyFont="1" applyFill="1" applyBorder="1" applyAlignment="1">
      <alignment vertical="top" wrapText="1"/>
    </xf>
    <xf numFmtId="0" fontId="17" fillId="0" borderId="1" xfId="0" applyFont="1" applyFill="1" applyBorder="1"/>
    <xf numFmtId="0" fontId="17" fillId="0" borderId="1" xfId="0" applyFont="1" applyFill="1" applyBorder="1" applyAlignment="1">
      <alignment wrapText="1"/>
    </xf>
    <xf numFmtId="0" fontId="19" fillId="0" borderId="1" xfId="0" applyFont="1" applyFill="1" applyBorder="1" applyAlignment="1">
      <alignment vertical="top" wrapText="1"/>
    </xf>
    <xf numFmtId="0" fontId="3" fillId="0" borderId="3" xfId="0" applyFont="1" applyFill="1" applyBorder="1" applyAlignment="1">
      <alignment horizontal="center" vertical="center"/>
    </xf>
    <xf numFmtId="0" fontId="20" fillId="0" borderId="1" xfId="0" applyFont="1" applyFill="1" applyBorder="1" applyAlignment="1">
      <alignment vertical="top"/>
    </xf>
    <xf numFmtId="0" fontId="3" fillId="0" borderId="1" xfId="0" applyFont="1" applyFill="1" applyBorder="1" applyAlignment="1">
      <alignment vertical="top" wrapText="1" shrinkToFit="1"/>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xf numFmtId="0" fontId="3" fillId="0" borderId="1" xfId="0" applyFont="1" applyFill="1" applyBorder="1" applyAlignment="1">
      <alignment horizontal="center" vertical="center" wrapText="1"/>
    </xf>
    <xf numFmtId="1" fontId="0" fillId="0" borderId="0" xfId="0" applyNumberFormat="1" applyFill="1"/>
    <xf numFmtId="0" fontId="2" fillId="0" borderId="0" xfId="0" applyFont="1" applyFill="1" applyAlignment="1">
      <alignment horizontal="left" vertical="top"/>
    </xf>
    <xf numFmtId="0" fontId="7" fillId="0" borderId="0" xfId="0" applyFont="1" applyFill="1"/>
    <xf numFmtId="0" fontId="9" fillId="0" borderId="0" xfId="0" applyFont="1" applyFill="1"/>
    <xf numFmtId="0" fontId="3" fillId="0" borderId="0" xfId="0" applyFont="1" applyFill="1" applyAlignment="1">
      <alignment wrapText="1"/>
    </xf>
    <xf numFmtId="164" fontId="2" fillId="0" borderId="0" xfId="0" applyNumberFormat="1" applyFont="1" applyFill="1" applyAlignment="1">
      <alignment horizontal="left" vertical="top"/>
    </xf>
    <xf numFmtId="0" fontId="3" fillId="0" borderId="0" xfId="0" applyFont="1" applyFill="1" applyAlignment="1">
      <alignment vertical="center" wrapText="1"/>
    </xf>
    <xf numFmtId="1" fontId="13" fillId="0" borderId="0" xfId="0" applyNumberFormat="1" applyFont="1" applyFill="1" applyAlignment="1">
      <alignment vertical="center" wrapText="1"/>
    </xf>
    <xf numFmtId="1" fontId="5" fillId="0" borderId="0" xfId="0" applyNumberFormat="1" applyFont="1" applyFill="1"/>
    <xf numFmtId="0" fontId="5" fillId="0" borderId="0" xfId="0" applyFont="1" applyFill="1"/>
    <xf numFmtId="164" fontId="5" fillId="0" borderId="0" xfId="0" applyNumberFormat="1" applyFont="1" applyFill="1"/>
    <xf numFmtId="164" fontId="23" fillId="0" borderId="0" xfId="0" applyNumberFormat="1" applyFont="1" applyFill="1"/>
    <xf numFmtId="164" fontId="22" fillId="0" borderId="0" xfId="0" applyNumberFormat="1" applyFont="1" applyFill="1"/>
    <xf numFmtId="0" fontId="3" fillId="0" borderId="0" xfId="0" applyFont="1" applyFill="1" applyAlignment="1">
      <alignment horizontal="right" vertical="center"/>
    </xf>
    <xf numFmtId="1" fontId="3" fillId="0" borderId="1" xfId="0" applyNumberFormat="1" applyFont="1" applyFill="1" applyBorder="1" applyAlignment="1">
      <alignment horizontal="center" vertical="center"/>
    </xf>
    <xf numFmtId="1" fontId="3"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14" fillId="0" borderId="3" xfId="0" applyNumberFormat="1" applyFont="1" applyFill="1" applyBorder="1" applyAlignment="1">
      <alignment horizontal="center" vertical="center"/>
    </xf>
    <xf numFmtId="1" fontId="6" fillId="0" borderId="3"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xf numFmtId="0" fontId="3" fillId="0" borderId="3" xfId="0" applyFont="1" applyFill="1" applyBorder="1" applyAlignment="1">
      <alignment horizontal="left" vertical="center" wrapText="1"/>
    </xf>
    <xf numFmtId="0" fontId="2" fillId="0" borderId="1" xfId="0" applyFont="1" applyFill="1" applyBorder="1" applyAlignment="1">
      <alignment horizontal="left" vertical="top"/>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2" fillId="0" borderId="0" xfId="0" applyFont="1" applyFill="1"/>
    <xf numFmtId="1" fontId="6" fillId="0" borderId="1" xfId="0" applyNumberFormat="1" applyFont="1" applyFill="1" applyBorder="1" applyAlignment="1">
      <alignment horizontal="center" vertical="center" wrapText="1"/>
    </xf>
    <xf numFmtId="0" fontId="0" fillId="0" borderId="1" xfId="0" applyFont="1" applyFill="1" applyBorder="1" applyAlignment="1"/>
    <xf numFmtId="0" fontId="3" fillId="0" borderId="2" xfId="0" applyFont="1" applyFill="1" applyBorder="1" applyAlignment="1">
      <alignment vertical="center" wrapText="1"/>
    </xf>
    <xf numFmtId="0" fontId="6" fillId="0" borderId="1" xfId="0" applyFont="1" applyFill="1" applyBorder="1" applyAlignment="1">
      <alignment vertical="top" wrapText="1"/>
    </xf>
    <xf numFmtId="49"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1" xfId="0" applyFont="1" applyFill="1" applyBorder="1" applyAlignment="1">
      <alignment vertical="top"/>
    </xf>
    <xf numFmtId="0" fontId="0" fillId="0" borderId="0" xfId="0" applyFont="1" applyFill="1" applyAlignment="1">
      <alignment wrapText="1"/>
    </xf>
    <xf numFmtId="4" fontId="0" fillId="0" borderId="0" xfId="0" applyNumberFormat="1" applyFont="1" applyFill="1"/>
    <xf numFmtId="0" fontId="6" fillId="0" borderId="1" xfId="0" applyFont="1" applyFill="1" applyBorder="1"/>
    <xf numFmtId="164" fontId="6" fillId="0" borderId="1" xfId="0" applyNumberFormat="1" applyFont="1" applyFill="1" applyBorder="1" applyAlignment="1">
      <alignment horizontal="center" vertical="center"/>
    </xf>
    <xf numFmtId="0" fontId="6" fillId="0" borderId="1" xfId="0" applyFont="1" applyFill="1" applyBorder="1" applyAlignment="1">
      <alignment horizontal="left" vertical="top" wrapText="1"/>
    </xf>
    <xf numFmtId="0" fontId="3" fillId="0" borderId="0" xfId="0" applyFont="1" applyFill="1" applyAlignment="1">
      <alignment horizontal="justify" vertical="center"/>
    </xf>
    <xf numFmtId="164" fontId="0" fillId="0" borderId="0" xfId="0" applyNumberFormat="1" applyFont="1" applyFill="1"/>
    <xf numFmtId="0" fontId="4"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1"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1" fontId="14" fillId="0" borderId="0" xfId="0" applyNumberFormat="1" applyFont="1" applyFill="1" applyAlignment="1">
      <alignment vertical="center"/>
    </xf>
    <xf numFmtId="0" fontId="14" fillId="0" borderId="0" xfId="0" applyFont="1" applyFill="1" applyAlignment="1">
      <alignment vertical="center"/>
    </xf>
    <xf numFmtId="0" fontId="16" fillId="0" borderId="0" xfId="0" applyFont="1" applyFill="1" applyAlignment="1">
      <alignment horizontal="lef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xf numFmtId="1" fontId="3" fillId="0" borderId="1"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8</xdr:col>
      <xdr:colOff>238124</xdr:colOff>
      <xdr:row>74</xdr:row>
      <xdr:rowOff>476249</xdr:rowOff>
    </xdr:from>
    <xdr:to>
      <xdr:col>8</xdr:col>
      <xdr:colOff>2698749</xdr:colOff>
      <xdr:row>74</xdr:row>
      <xdr:rowOff>1127124</xdr:rowOff>
    </xdr:to>
    <xdr:pic>
      <xdr:nvPicPr>
        <xdr:cNvPr id="5" name="Рисунок 4" descr="base_25_210560_32774"/>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9" y="101885749"/>
          <a:ext cx="2460625" cy="6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544286</xdr:colOff>
      <xdr:row>17</xdr:row>
      <xdr:rowOff>483054</xdr:rowOff>
    </xdr:from>
    <xdr:to>
      <xdr:col>8</xdr:col>
      <xdr:colOff>934811</xdr:colOff>
      <xdr:row>17</xdr:row>
      <xdr:rowOff>683453</xdr:rowOff>
    </xdr:to>
    <xdr:pic>
      <xdr:nvPicPr>
        <xdr:cNvPr id="6" name="Рисунок 5"/>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48005" y="15234898"/>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476250</xdr:colOff>
      <xdr:row>29</xdr:row>
      <xdr:rowOff>612321</xdr:rowOff>
    </xdr:from>
    <xdr:to>
      <xdr:col>8</xdr:col>
      <xdr:colOff>866775</xdr:colOff>
      <xdr:row>29</xdr:row>
      <xdr:rowOff>812720</xdr:rowOff>
    </xdr:to>
    <xdr:pic>
      <xdr:nvPicPr>
        <xdr:cNvPr id="7" name="Рисунок 6"/>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5071" y="30779357"/>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574901</xdr:colOff>
      <xdr:row>32</xdr:row>
      <xdr:rowOff>797719</xdr:rowOff>
    </xdr:from>
    <xdr:to>
      <xdr:col>8</xdr:col>
      <xdr:colOff>965426</xdr:colOff>
      <xdr:row>32</xdr:row>
      <xdr:rowOff>998118</xdr:rowOff>
    </xdr:to>
    <xdr:pic>
      <xdr:nvPicPr>
        <xdr:cNvPr id="10" name="Рисунок 9"/>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16722" y="45714898"/>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571499</xdr:colOff>
      <xdr:row>46</xdr:row>
      <xdr:rowOff>3469821</xdr:rowOff>
    </xdr:from>
    <xdr:to>
      <xdr:col>8</xdr:col>
      <xdr:colOff>962024</xdr:colOff>
      <xdr:row>46</xdr:row>
      <xdr:rowOff>3670220</xdr:rowOff>
    </xdr:to>
    <xdr:pic>
      <xdr:nvPicPr>
        <xdr:cNvPr id="11" name="Рисунок 10"/>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13320" y="83792785"/>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612323</xdr:colOff>
      <xdr:row>75</xdr:row>
      <xdr:rowOff>2667000</xdr:rowOff>
    </xdr:from>
    <xdr:to>
      <xdr:col>8</xdr:col>
      <xdr:colOff>1002848</xdr:colOff>
      <xdr:row>75</xdr:row>
      <xdr:rowOff>2867399</xdr:rowOff>
    </xdr:to>
    <xdr:pic>
      <xdr:nvPicPr>
        <xdr:cNvPr id="12" name="Рисунок 11"/>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321144" y="105019929"/>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619125</xdr:colOff>
      <xdr:row>88</xdr:row>
      <xdr:rowOff>1467870</xdr:rowOff>
    </xdr:from>
    <xdr:to>
      <xdr:col>8</xdr:col>
      <xdr:colOff>1009650</xdr:colOff>
      <xdr:row>88</xdr:row>
      <xdr:rowOff>1668269</xdr:rowOff>
    </xdr:to>
    <xdr:pic>
      <xdr:nvPicPr>
        <xdr:cNvPr id="13" name="Рисунок 1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322844" y="114148620"/>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590210</xdr:colOff>
      <xdr:row>89</xdr:row>
      <xdr:rowOff>734785</xdr:rowOff>
    </xdr:from>
    <xdr:to>
      <xdr:col>8</xdr:col>
      <xdr:colOff>980735</xdr:colOff>
      <xdr:row>89</xdr:row>
      <xdr:rowOff>935184</xdr:rowOff>
    </xdr:to>
    <xdr:pic>
      <xdr:nvPicPr>
        <xdr:cNvPr id="14" name="Рисунок 13"/>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32031" y="118776749"/>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603817</xdr:colOff>
      <xdr:row>90</xdr:row>
      <xdr:rowOff>2520723</xdr:rowOff>
    </xdr:from>
    <xdr:to>
      <xdr:col>8</xdr:col>
      <xdr:colOff>994342</xdr:colOff>
      <xdr:row>90</xdr:row>
      <xdr:rowOff>2721122</xdr:rowOff>
    </xdr:to>
    <xdr:pic>
      <xdr:nvPicPr>
        <xdr:cNvPr id="15" name="Рисунок 1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45638" y="122753437"/>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540884</xdr:colOff>
      <xdr:row>101</xdr:row>
      <xdr:rowOff>1440656</xdr:rowOff>
    </xdr:from>
    <xdr:to>
      <xdr:col>8</xdr:col>
      <xdr:colOff>931409</xdr:colOff>
      <xdr:row>101</xdr:row>
      <xdr:rowOff>1641055</xdr:rowOff>
    </xdr:to>
    <xdr:pic>
      <xdr:nvPicPr>
        <xdr:cNvPr id="16" name="Рисунок 15"/>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82705" y="125986835"/>
          <a:ext cx="390525" cy="20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3"/>
  <sheetViews>
    <sheetView tabSelected="1" view="pageBreakPreview" zoomScale="70" zoomScaleNormal="80" zoomScaleSheetLayoutView="70" workbookViewId="0">
      <pane ySplit="9" topLeftCell="A47" activePane="bottomLeft" state="frozen"/>
      <selection pane="bottomLeft" activeCell="F17" sqref="F17"/>
    </sheetView>
  </sheetViews>
  <sheetFormatPr defaultRowHeight="15" outlineLevelRow="1" x14ac:dyDescent="0.25"/>
  <cols>
    <col min="1" max="1" width="10.7109375" style="45" customWidth="1"/>
    <col min="2" max="2" width="53.28515625" style="43" customWidth="1"/>
    <col min="3" max="3" width="15.7109375" style="43" hidden="1" customWidth="1"/>
    <col min="4" max="4" width="13" style="43" hidden="1" customWidth="1"/>
    <col min="5" max="5" width="11.28515625" style="43" hidden="1" customWidth="1"/>
    <col min="6" max="6" width="19.42578125" style="43" customWidth="1"/>
    <col min="7" max="7" width="15.7109375" style="43" customWidth="1"/>
    <col min="8" max="8" width="21.42578125" style="43" customWidth="1"/>
    <col min="9" max="9" width="94.7109375" style="43" customWidth="1"/>
    <col min="10" max="10" width="98.7109375" style="46" hidden="1" customWidth="1"/>
    <col min="11" max="11" width="68" style="43" hidden="1" customWidth="1"/>
    <col min="12" max="12" width="87.42578125" style="43" hidden="1" customWidth="1"/>
    <col min="13" max="13" width="14" style="43" customWidth="1"/>
    <col min="14" max="17" width="17.42578125" style="43" customWidth="1"/>
    <col min="18" max="16384" width="9.140625" style="43"/>
  </cols>
  <sheetData>
    <row r="1" spans="1:12" x14ac:dyDescent="0.25">
      <c r="E1" s="43">
        <v>2020</v>
      </c>
      <c r="F1" s="43">
        <v>2021</v>
      </c>
      <c r="G1" s="43">
        <v>2022</v>
      </c>
      <c r="H1" s="43">
        <v>2023</v>
      </c>
    </row>
    <row r="2" spans="1:12" ht="18" customHeight="1" x14ac:dyDescent="0.25">
      <c r="E2" s="47">
        <v>1.0397000000000001</v>
      </c>
      <c r="F2" s="48">
        <v>1.0409999999999999</v>
      </c>
      <c r="G2" s="48">
        <v>1.0429999999999999</v>
      </c>
      <c r="H2" s="48">
        <v>1.042</v>
      </c>
    </row>
    <row r="3" spans="1:12" ht="95.25" hidden="1" customHeight="1" x14ac:dyDescent="0.25">
      <c r="F3" s="100" t="s">
        <v>48</v>
      </c>
      <c r="G3" s="100"/>
      <c r="H3" s="100"/>
    </row>
    <row r="4" spans="1:12" ht="126.75" hidden="1" customHeight="1" x14ac:dyDescent="0.25">
      <c r="A4" s="101" t="s">
        <v>51</v>
      </c>
      <c r="B4" s="101"/>
      <c r="C4" s="101"/>
      <c r="D4" s="101"/>
      <c r="E4" s="101"/>
      <c r="F4" s="101"/>
      <c r="G4" s="101"/>
      <c r="H4" s="101"/>
      <c r="I4" s="49"/>
      <c r="J4" s="50"/>
    </row>
    <row r="5" spans="1:12" ht="126.75" customHeight="1" x14ac:dyDescent="0.25">
      <c r="G5" s="51"/>
      <c r="H5" s="51"/>
      <c r="I5" s="51" t="s">
        <v>48</v>
      </c>
      <c r="J5" s="52"/>
      <c r="K5" s="52"/>
    </row>
    <row r="6" spans="1:12" ht="94.5" customHeight="1" x14ac:dyDescent="0.25">
      <c r="A6" s="101" t="s">
        <v>51</v>
      </c>
      <c r="B6" s="101"/>
      <c r="C6" s="101"/>
      <c r="D6" s="101"/>
      <c r="E6" s="101"/>
      <c r="F6" s="101"/>
      <c r="G6" s="101"/>
      <c r="H6" s="101"/>
      <c r="I6" s="101"/>
    </row>
    <row r="7" spans="1:12" s="17" customFormat="1" ht="15.75" customHeight="1" x14ac:dyDescent="0.25">
      <c r="A7" s="53"/>
      <c r="B7" s="54"/>
      <c r="C7" s="55"/>
      <c r="D7" s="54"/>
      <c r="E7" s="54"/>
      <c r="F7" s="56">
        <f>F11-97744.6</f>
        <v>-1101.7606175628607</v>
      </c>
      <c r="G7" s="56">
        <f>G11-94837.9</f>
        <v>-1149.1501079980517</v>
      </c>
      <c r="H7" s="57">
        <f>H11-98726.7</f>
        <v>-1197.3715383739764</v>
      </c>
      <c r="I7" s="58" t="s">
        <v>0</v>
      </c>
      <c r="J7" s="50"/>
    </row>
    <row r="8" spans="1:12" s="17" customFormat="1" ht="15.75" x14ac:dyDescent="0.25">
      <c r="A8" s="102" t="s">
        <v>1</v>
      </c>
      <c r="B8" s="96" t="s">
        <v>2</v>
      </c>
      <c r="C8" s="96" t="s">
        <v>3</v>
      </c>
      <c r="D8" s="96" t="s">
        <v>4</v>
      </c>
      <c r="E8" s="96" t="s">
        <v>5</v>
      </c>
      <c r="F8" s="96" t="s">
        <v>6</v>
      </c>
      <c r="G8" s="96"/>
      <c r="H8" s="96"/>
      <c r="I8" s="96" t="s">
        <v>7</v>
      </c>
      <c r="J8" s="97" t="s">
        <v>72</v>
      </c>
      <c r="K8" s="98" t="s">
        <v>73</v>
      </c>
      <c r="L8" s="17" t="s">
        <v>252</v>
      </c>
    </row>
    <row r="9" spans="1:12" s="17" customFormat="1" ht="33" customHeight="1" x14ac:dyDescent="0.25">
      <c r="A9" s="102"/>
      <c r="B9" s="96"/>
      <c r="C9" s="96"/>
      <c r="D9" s="96"/>
      <c r="E9" s="96"/>
      <c r="F9" s="44" t="s">
        <v>8</v>
      </c>
      <c r="G9" s="44" t="s">
        <v>9</v>
      </c>
      <c r="H9" s="44" t="s">
        <v>52</v>
      </c>
      <c r="I9" s="96"/>
      <c r="J9" s="97"/>
      <c r="K9" s="98"/>
    </row>
    <row r="10" spans="1:12" s="17" customFormat="1" ht="15.75" x14ac:dyDescent="0.25">
      <c r="A10" s="59">
        <v>1</v>
      </c>
      <c r="B10" s="1">
        <v>2</v>
      </c>
      <c r="C10" s="1" t="s">
        <v>323</v>
      </c>
      <c r="D10" s="1" t="s">
        <v>323</v>
      </c>
      <c r="E10" s="1" t="s">
        <v>323</v>
      </c>
      <c r="F10" s="1">
        <f>B10+1</f>
        <v>3</v>
      </c>
      <c r="G10" s="1">
        <f>F10+1</f>
        <v>4</v>
      </c>
      <c r="H10" s="1">
        <f>G10+1</f>
        <v>5</v>
      </c>
      <c r="I10" s="1">
        <f>H10+1</f>
        <v>6</v>
      </c>
      <c r="J10" s="1">
        <f>I10+1</f>
        <v>7</v>
      </c>
      <c r="K10" s="1">
        <f>J10+1</f>
        <v>8</v>
      </c>
    </row>
    <row r="11" spans="1:12" s="17" customFormat="1" ht="66" hidden="1" customHeight="1" x14ac:dyDescent="0.25">
      <c r="A11" s="60"/>
      <c r="B11" s="61" t="s">
        <v>282</v>
      </c>
      <c r="C11" s="62"/>
      <c r="D11" s="62"/>
      <c r="E11" s="61"/>
      <c r="F11" s="63">
        <f>F12+F31</f>
        <v>96642.839382437145</v>
      </c>
      <c r="G11" s="63">
        <f>G12+G31</f>
        <v>93688.749892001942</v>
      </c>
      <c r="H11" s="63">
        <f>H12+H31</f>
        <v>97529.328461626021</v>
      </c>
      <c r="I11" s="38"/>
      <c r="J11" s="28"/>
      <c r="K11" s="1"/>
    </row>
    <row r="12" spans="1:12" s="17" customFormat="1" ht="153" customHeight="1" x14ac:dyDescent="0.25">
      <c r="A12" s="64">
        <v>1</v>
      </c>
      <c r="B12" s="65" t="s">
        <v>10</v>
      </c>
      <c r="C12" s="66"/>
      <c r="D12" s="66"/>
      <c r="E12" s="66"/>
      <c r="F12" s="62">
        <f>F13+F16+F19+F27</f>
        <v>13254.8622</v>
      </c>
      <c r="G12" s="62">
        <f t="shared" ref="G12:H12" si="0">G13+G16+G19+G27</f>
        <v>12852.168874599998</v>
      </c>
      <c r="H12" s="62">
        <f t="shared" si="0"/>
        <v>13387.7253673332</v>
      </c>
      <c r="I12" s="67" t="s">
        <v>284</v>
      </c>
      <c r="J12" s="68"/>
      <c r="K12" s="4"/>
    </row>
    <row r="13" spans="1:12" s="17" customFormat="1" ht="120" customHeight="1" x14ac:dyDescent="0.25">
      <c r="A13" s="69" t="s">
        <v>11</v>
      </c>
      <c r="B13" s="70" t="s">
        <v>12</v>
      </c>
      <c r="C13" s="69" t="s">
        <v>13</v>
      </c>
      <c r="D13" s="71">
        <v>244</v>
      </c>
      <c r="E13" s="71">
        <v>221</v>
      </c>
      <c r="F13" s="72">
        <f>F14+F15</f>
        <v>1995.2</v>
      </c>
      <c r="G13" s="72">
        <f t="shared" ref="G13:H13" si="1">G14+G15</f>
        <v>2080.9935999999998</v>
      </c>
      <c r="H13" s="72">
        <f t="shared" si="1"/>
        <v>2168.3953312000003</v>
      </c>
      <c r="I13" s="10" t="s">
        <v>53</v>
      </c>
      <c r="J13" s="20"/>
      <c r="K13" s="4"/>
    </row>
    <row r="14" spans="1:12" s="17" customFormat="1" ht="171.75" customHeight="1" x14ac:dyDescent="0.35">
      <c r="A14" s="7" t="s">
        <v>146</v>
      </c>
      <c r="B14" s="6" t="s">
        <v>92</v>
      </c>
      <c r="C14" s="7" t="s">
        <v>13</v>
      </c>
      <c r="D14" s="44">
        <v>244</v>
      </c>
      <c r="E14" s="44">
        <v>221</v>
      </c>
      <c r="F14" s="8">
        <f>160.5+448</f>
        <v>608.5</v>
      </c>
      <c r="G14" s="8">
        <f>F14*G2</f>
        <v>634.66549999999995</v>
      </c>
      <c r="H14" s="8">
        <f>G14*H2</f>
        <v>661.32145100000002</v>
      </c>
      <c r="I14" s="42" t="s">
        <v>314</v>
      </c>
      <c r="J14" s="20" t="s">
        <v>156</v>
      </c>
      <c r="K14" s="32"/>
    </row>
    <row r="15" spans="1:12" s="17" customFormat="1" ht="142.5" customHeight="1" x14ac:dyDescent="0.35">
      <c r="A15" s="7" t="s">
        <v>147</v>
      </c>
      <c r="B15" s="6" t="s">
        <v>93</v>
      </c>
      <c r="C15" s="7" t="s">
        <v>13</v>
      </c>
      <c r="D15" s="44">
        <v>244</v>
      </c>
      <c r="E15" s="44">
        <v>221</v>
      </c>
      <c r="F15" s="8">
        <v>1386.7</v>
      </c>
      <c r="G15" s="8">
        <f>F15*G2</f>
        <v>1446.3280999999999</v>
      </c>
      <c r="H15" s="8">
        <f>G15*H2</f>
        <v>1507.0738802000001</v>
      </c>
      <c r="I15" s="10" t="s">
        <v>326</v>
      </c>
      <c r="J15" s="20" t="s">
        <v>157</v>
      </c>
      <c r="K15" s="32"/>
    </row>
    <row r="16" spans="1:12" s="73" customFormat="1" ht="144" customHeight="1" x14ac:dyDescent="0.25">
      <c r="A16" s="69" t="s">
        <v>148</v>
      </c>
      <c r="B16" s="70" t="s">
        <v>14</v>
      </c>
      <c r="C16" s="69">
        <v>1510096170</v>
      </c>
      <c r="D16" s="71">
        <v>242</v>
      </c>
      <c r="E16" s="71">
        <v>225</v>
      </c>
      <c r="F16" s="72">
        <f>F17+F18</f>
        <v>7514.1293999999998</v>
      </c>
      <c r="G16" s="72">
        <f t="shared" ref="G16:H16" si="2">G17+G18</f>
        <v>7837.2369641999994</v>
      </c>
      <c r="H16" s="72">
        <f t="shared" si="2"/>
        <v>8166.4009166964006</v>
      </c>
      <c r="I16" s="42" t="s">
        <v>233</v>
      </c>
      <c r="J16" s="20"/>
      <c r="K16" s="4"/>
    </row>
    <row r="17" spans="1:16" s="73" customFormat="1" ht="204" customHeight="1" x14ac:dyDescent="0.35">
      <c r="A17" s="7" t="s">
        <v>231</v>
      </c>
      <c r="B17" s="6" t="s">
        <v>230</v>
      </c>
      <c r="C17" s="7">
        <v>1510096170</v>
      </c>
      <c r="D17" s="44">
        <v>242</v>
      </c>
      <c r="E17" s="44">
        <v>225</v>
      </c>
      <c r="F17" s="8">
        <v>7000.5</v>
      </c>
      <c r="G17" s="8">
        <f>F17*G2</f>
        <v>7301.5214999999998</v>
      </c>
      <c r="H17" s="8">
        <f>G17*H2</f>
        <v>7608.1854030000004</v>
      </c>
      <c r="I17" s="10" t="s">
        <v>327</v>
      </c>
      <c r="J17" s="20" t="s">
        <v>158</v>
      </c>
      <c r="K17" s="32"/>
    </row>
    <row r="18" spans="1:16" s="73" customFormat="1" ht="151.5" customHeight="1" x14ac:dyDescent="0.25">
      <c r="A18" s="7" t="s">
        <v>232</v>
      </c>
      <c r="B18" s="6" t="s">
        <v>131</v>
      </c>
      <c r="C18" s="1">
        <v>1510096170</v>
      </c>
      <c r="D18" s="1">
        <v>242</v>
      </c>
      <c r="E18" s="1">
        <v>225</v>
      </c>
      <c r="F18" s="3">
        <f>493.4*F2</f>
        <v>513.62939999999992</v>
      </c>
      <c r="G18" s="3">
        <f>F18*G2</f>
        <v>535.71546419999993</v>
      </c>
      <c r="H18" s="3">
        <f>G18*H2</f>
        <v>558.21551369639997</v>
      </c>
      <c r="I18" s="6" t="s">
        <v>319</v>
      </c>
      <c r="J18" s="20" t="s">
        <v>82</v>
      </c>
      <c r="K18" s="25"/>
    </row>
    <row r="19" spans="1:16" s="73" customFormat="1" ht="146.25" customHeight="1" x14ac:dyDescent="0.25">
      <c r="A19" s="74" t="s">
        <v>15</v>
      </c>
      <c r="B19" s="70" t="s">
        <v>16</v>
      </c>
      <c r="C19" s="69"/>
      <c r="D19" s="71"/>
      <c r="E19" s="71"/>
      <c r="F19" s="72">
        <f>F20+F26</f>
        <v>1813.3999999999999</v>
      </c>
      <c r="G19" s="72">
        <f t="shared" ref="G19:H19" si="3">G20+G26</f>
        <v>923.1592999999998</v>
      </c>
      <c r="H19" s="72">
        <f t="shared" si="3"/>
        <v>961.93199059999995</v>
      </c>
      <c r="I19" s="10" t="s">
        <v>62</v>
      </c>
      <c r="J19" s="11" t="s">
        <v>61</v>
      </c>
      <c r="K19" s="75"/>
    </row>
    <row r="20" spans="1:16" s="73" customFormat="1" ht="193.5" customHeight="1" x14ac:dyDescent="0.25">
      <c r="A20" s="2" t="s">
        <v>149</v>
      </c>
      <c r="B20" s="6" t="s">
        <v>285</v>
      </c>
      <c r="C20" s="1">
        <v>1510096780</v>
      </c>
      <c r="D20" s="1">
        <v>242</v>
      </c>
      <c r="E20" s="1">
        <v>226</v>
      </c>
      <c r="F20" s="3">
        <f>SUM(F21:F25)</f>
        <v>885.09999999999991</v>
      </c>
      <c r="G20" s="3">
        <f t="shared" ref="G20:H20" si="4">SUM(G21:G25)</f>
        <v>923.1592999999998</v>
      </c>
      <c r="H20" s="3">
        <f t="shared" si="4"/>
        <v>961.93199059999995</v>
      </c>
      <c r="I20" s="99" t="s">
        <v>85</v>
      </c>
      <c r="J20" s="9"/>
      <c r="K20" s="30"/>
    </row>
    <row r="21" spans="1:16" s="73" customFormat="1" ht="87" hidden="1" customHeight="1" outlineLevel="1" x14ac:dyDescent="0.25">
      <c r="A21" s="27" t="s">
        <v>150</v>
      </c>
      <c r="B21" s="42" t="s">
        <v>50</v>
      </c>
      <c r="C21" s="1">
        <v>1510096780</v>
      </c>
      <c r="D21" s="1">
        <v>242</v>
      </c>
      <c r="E21" s="1">
        <v>226</v>
      </c>
      <c r="F21" s="3">
        <v>494.4</v>
      </c>
      <c r="G21" s="3">
        <f>F21*G2</f>
        <v>515.65919999999994</v>
      </c>
      <c r="H21" s="3">
        <f>G21*H2</f>
        <v>537.31688639999993</v>
      </c>
      <c r="I21" s="99"/>
      <c r="J21" s="20" t="s">
        <v>159</v>
      </c>
      <c r="K21" s="4"/>
    </row>
    <row r="22" spans="1:16" s="73" customFormat="1" ht="81" hidden="1" customHeight="1" outlineLevel="1" x14ac:dyDescent="0.25">
      <c r="A22" s="27" t="s">
        <v>151</v>
      </c>
      <c r="B22" s="76" t="s">
        <v>17</v>
      </c>
      <c r="C22" s="14">
        <v>1510096170</v>
      </c>
      <c r="D22" s="12">
        <v>242</v>
      </c>
      <c r="E22" s="12">
        <v>226</v>
      </c>
      <c r="F22" s="13">
        <v>111.9</v>
      </c>
      <c r="G22" s="13">
        <f>F22*G2</f>
        <v>116.71169999999999</v>
      </c>
      <c r="H22" s="13">
        <f>G22*H2</f>
        <v>121.6135914</v>
      </c>
      <c r="I22" s="99"/>
      <c r="J22" s="18" t="s">
        <v>160</v>
      </c>
      <c r="K22" s="11"/>
    </row>
    <row r="23" spans="1:16" s="73" customFormat="1" ht="90" hidden="1" customHeight="1" outlineLevel="1" x14ac:dyDescent="0.25">
      <c r="A23" s="27" t="s">
        <v>152</v>
      </c>
      <c r="B23" s="42" t="s">
        <v>18</v>
      </c>
      <c r="C23" s="1">
        <v>1510096170</v>
      </c>
      <c r="D23" s="1">
        <v>242</v>
      </c>
      <c r="E23" s="1">
        <v>226</v>
      </c>
      <c r="F23" s="3">
        <v>13.2</v>
      </c>
      <c r="G23" s="3">
        <f>F23*G2</f>
        <v>13.767599999999998</v>
      </c>
      <c r="H23" s="3">
        <f>G23*H2</f>
        <v>14.345839199999999</v>
      </c>
      <c r="I23" s="99"/>
      <c r="J23" s="18" t="s">
        <v>161</v>
      </c>
      <c r="K23" s="33"/>
    </row>
    <row r="24" spans="1:16" s="73" customFormat="1" ht="86.25" hidden="1" customHeight="1" outlineLevel="1" x14ac:dyDescent="0.25">
      <c r="A24" s="27" t="s">
        <v>153</v>
      </c>
      <c r="B24" s="42" t="s">
        <v>19</v>
      </c>
      <c r="C24" s="1">
        <v>1510096170</v>
      </c>
      <c r="D24" s="1">
        <v>242</v>
      </c>
      <c r="E24" s="1">
        <v>226</v>
      </c>
      <c r="F24" s="3">
        <v>108.4</v>
      </c>
      <c r="G24" s="3">
        <f>F24*G2</f>
        <v>113.0612</v>
      </c>
      <c r="H24" s="3">
        <f>G24*H2</f>
        <v>117.8097704</v>
      </c>
      <c r="I24" s="99"/>
      <c r="J24" s="20" t="s">
        <v>163</v>
      </c>
      <c r="K24" s="11"/>
    </row>
    <row r="25" spans="1:16" s="73" customFormat="1" ht="75" hidden="1" outlineLevel="1" x14ac:dyDescent="0.25">
      <c r="A25" s="27" t="s">
        <v>154</v>
      </c>
      <c r="B25" s="42" t="s">
        <v>20</v>
      </c>
      <c r="C25" s="1">
        <v>1510096170</v>
      </c>
      <c r="D25" s="1">
        <v>242</v>
      </c>
      <c r="E25" s="1">
        <v>226</v>
      </c>
      <c r="F25" s="3">
        <v>157.19999999999999</v>
      </c>
      <c r="G25" s="3">
        <f>F25*G2</f>
        <v>163.95959999999997</v>
      </c>
      <c r="H25" s="3">
        <f>G25*H2</f>
        <v>170.84590319999998</v>
      </c>
      <c r="I25" s="99"/>
      <c r="J25" s="20" t="s">
        <v>162</v>
      </c>
      <c r="K25" s="11"/>
    </row>
    <row r="26" spans="1:16" s="73" customFormat="1" ht="147" customHeight="1" collapsed="1" x14ac:dyDescent="0.25">
      <c r="A26" s="41" t="s">
        <v>155</v>
      </c>
      <c r="B26" s="42" t="s">
        <v>94</v>
      </c>
      <c r="C26" s="1">
        <v>1510096170</v>
      </c>
      <c r="D26" s="1">
        <v>242</v>
      </c>
      <c r="E26" s="1">
        <v>226</v>
      </c>
      <c r="F26" s="3">
        <v>928.3</v>
      </c>
      <c r="G26" s="3">
        <v>0</v>
      </c>
      <c r="H26" s="3">
        <v>0</v>
      </c>
      <c r="I26" s="10" t="s">
        <v>328</v>
      </c>
      <c r="J26" s="20" t="s">
        <v>198</v>
      </c>
      <c r="K26" s="39"/>
    </row>
    <row r="27" spans="1:16" s="17" customFormat="1" ht="144" customHeight="1" x14ac:dyDescent="0.25">
      <c r="A27" s="74" t="s">
        <v>21</v>
      </c>
      <c r="B27" s="77" t="s">
        <v>22</v>
      </c>
      <c r="C27" s="78"/>
      <c r="D27" s="79"/>
      <c r="E27" s="79"/>
      <c r="F27" s="72">
        <f>SUM(F28:F30)</f>
        <v>1932.1327999999999</v>
      </c>
      <c r="G27" s="72">
        <f>SUM(G28:G30)</f>
        <v>2010.7790103999996</v>
      </c>
      <c r="H27" s="72">
        <f>SUM(H28:H30)</f>
        <v>2090.9971288367997</v>
      </c>
      <c r="I27" s="10" t="s">
        <v>58</v>
      </c>
      <c r="J27" s="20" t="s">
        <v>63</v>
      </c>
      <c r="K27" s="80"/>
    </row>
    <row r="28" spans="1:16" s="17" customFormat="1" ht="220.5" customHeight="1" x14ac:dyDescent="0.25">
      <c r="A28" s="7" t="s">
        <v>164</v>
      </c>
      <c r="B28" s="6" t="s">
        <v>54</v>
      </c>
      <c r="C28" s="1">
        <v>1510096170</v>
      </c>
      <c r="D28" s="44">
        <v>242</v>
      </c>
      <c r="E28" s="44">
        <v>346</v>
      </c>
      <c r="F28" s="8">
        <v>101.3</v>
      </c>
      <c r="G28" s="8">
        <v>101.3</v>
      </c>
      <c r="H28" s="8">
        <v>101.3</v>
      </c>
      <c r="I28" s="42" t="s">
        <v>55</v>
      </c>
      <c r="J28" s="20" t="s">
        <v>86</v>
      </c>
      <c r="K28" s="15" t="s">
        <v>64</v>
      </c>
      <c r="M28" s="17">
        <v>1325.5</v>
      </c>
      <c r="N28" s="17">
        <f>M28-101.3</f>
        <v>1224.2</v>
      </c>
    </row>
    <row r="29" spans="1:16" s="17" customFormat="1" ht="210" customHeight="1" x14ac:dyDescent="0.25">
      <c r="A29" s="7" t="s">
        <v>341</v>
      </c>
      <c r="B29" s="6" t="s">
        <v>56</v>
      </c>
      <c r="C29" s="1">
        <v>1510096170</v>
      </c>
      <c r="D29" s="44">
        <v>242</v>
      </c>
      <c r="E29" s="44">
        <v>346</v>
      </c>
      <c r="F29" s="8">
        <v>997.2</v>
      </c>
      <c r="G29" s="8">
        <v>1040</v>
      </c>
      <c r="H29" s="8">
        <v>1083.7</v>
      </c>
      <c r="I29" s="10" t="s">
        <v>286</v>
      </c>
      <c r="J29" s="6"/>
      <c r="K29" s="15" t="s">
        <v>336</v>
      </c>
      <c r="L29" s="81" t="s">
        <v>68</v>
      </c>
      <c r="M29" s="82">
        <f>23243*258/36*1.5</f>
        <v>249862.25</v>
      </c>
      <c r="N29" s="82">
        <f>23243*143/5*1.5</f>
        <v>997124.70000000007</v>
      </c>
      <c r="O29" s="82">
        <f>24242*143/5*1.5</f>
        <v>1039981.7999999999</v>
      </c>
      <c r="P29" s="82">
        <f>25260*143/5*1.5</f>
        <v>1083654</v>
      </c>
    </row>
    <row r="30" spans="1:16" s="17" customFormat="1" ht="173.25" x14ac:dyDescent="0.25">
      <c r="A30" s="7" t="s">
        <v>165</v>
      </c>
      <c r="B30" s="6" t="s">
        <v>57</v>
      </c>
      <c r="C30" s="1">
        <v>1510096170</v>
      </c>
      <c r="D30" s="44">
        <v>242</v>
      </c>
      <c r="E30" s="44">
        <v>346</v>
      </c>
      <c r="F30" s="8">
        <f>800.8*F2</f>
        <v>833.63279999999986</v>
      </c>
      <c r="G30" s="8">
        <f>F30*G2</f>
        <v>869.47901039999977</v>
      </c>
      <c r="H30" s="8">
        <f>G30*H2</f>
        <v>905.99712883679979</v>
      </c>
      <c r="I30" s="10" t="s">
        <v>329</v>
      </c>
      <c r="J30" s="20" t="s">
        <v>166</v>
      </c>
      <c r="K30" s="33"/>
    </row>
    <row r="31" spans="1:16" s="17" customFormat="1" ht="363.75" customHeight="1" x14ac:dyDescent="0.25">
      <c r="A31" s="74">
        <v>2</v>
      </c>
      <c r="B31" s="70" t="s">
        <v>45</v>
      </c>
      <c r="C31" s="83"/>
      <c r="D31" s="83"/>
      <c r="E31" s="83"/>
      <c r="F31" s="84">
        <f>F32+F34+F35+F66+F37+F73+F86+F102</f>
        <v>83387.977182437142</v>
      </c>
      <c r="G31" s="84">
        <f>G32+G34+G35+G66+G37+G73+G86+G102</f>
        <v>80836.581017401943</v>
      </c>
      <c r="H31" s="84">
        <f>H32+H34+H35+H66+H37+H73+H86+H102</f>
        <v>84141.603094292819</v>
      </c>
      <c r="I31" s="85" t="s">
        <v>315</v>
      </c>
      <c r="J31" s="68"/>
      <c r="K31" s="4"/>
    </row>
    <row r="32" spans="1:16" s="17" customFormat="1" ht="90" customHeight="1" x14ac:dyDescent="0.25">
      <c r="A32" s="74" t="s">
        <v>23</v>
      </c>
      <c r="B32" s="70" t="s">
        <v>12</v>
      </c>
      <c r="C32" s="69" t="s">
        <v>24</v>
      </c>
      <c r="D32" s="71">
        <v>244</v>
      </c>
      <c r="E32" s="71">
        <v>221</v>
      </c>
      <c r="F32" s="72">
        <f>F33</f>
        <v>122.51949564</v>
      </c>
      <c r="G32" s="72">
        <f t="shared" ref="G32:H32" si="5">G33</f>
        <v>127.78783395251999</v>
      </c>
      <c r="H32" s="72">
        <f t="shared" si="5"/>
        <v>133.15492297852583</v>
      </c>
      <c r="I32" s="42" t="s">
        <v>184</v>
      </c>
      <c r="J32" s="20"/>
      <c r="K32" s="4"/>
    </row>
    <row r="33" spans="1:12" s="17" customFormat="1" ht="225" customHeight="1" x14ac:dyDescent="0.25">
      <c r="A33" s="2" t="s">
        <v>185</v>
      </c>
      <c r="B33" s="6" t="s">
        <v>183</v>
      </c>
      <c r="C33" s="7" t="s">
        <v>24</v>
      </c>
      <c r="D33" s="44">
        <v>244</v>
      </c>
      <c r="E33" s="44">
        <v>221</v>
      </c>
      <c r="F33" s="8">
        <f>113.2*E2*F2</f>
        <v>122.51949564</v>
      </c>
      <c r="G33" s="8">
        <f>F33*G2</f>
        <v>127.78783395251999</v>
      </c>
      <c r="H33" s="8">
        <f>G33*H2</f>
        <v>133.15492297852583</v>
      </c>
      <c r="I33" s="42" t="s">
        <v>320</v>
      </c>
      <c r="J33" s="20" t="s">
        <v>167</v>
      </c>
      <c r="K33" s="33"/>
    </row>
    <row r="34" spans="1:12" s="17" customFormat="1" ht="276.75" customHeight="1" x14ac:dyDescent="0.25">
      <c r="A34" s="74" t="s">
        <v>168</v>
      </c>
      <c r="B34" s="70" t="s">
        <v>25</v>
      </c>
      <c r="C34" s="69" t="s">
        <v>24</v>
      </c>
      <c r="D34" s="71">
        <v>244</v>
      </c>
      <c r="E34" s="71">
        <v>223</v>
      </c>
      <c r="F34" s="72">
        <v>10251.4</v>
      </c>
      <c r="G34" s="72">
        <v>10589.7</v>
      </c>
      <c r="H34" s="72">
        <v>10934.9</v>
      </c>
      <c r="I34" s="10" t="s">
        <v>316</v>
      </c>
      <c r="J34" s="20" t="s">
        <v>87</v>
      </c>
      <c r="K34" s="4"/>
      <c r="L34" s="40"/>
    </row>
    <row r="35" spans="1:12" s="17" customFormat="1" ht="72" customHeight="1" x14ac:dyDescent="0.25">
      <c r="A35" s="74" t="s">
        <v>169</v>
      </c>
      <c r="B35" s="70" t="s">
        <v>27</v>
      </c>
      <c r="C35" s="69"/>
      <c r="D35" s="71"/>
      <c r="E35" s="71"/>
      <c r="F35" s="72">
        <f>SUM(F36)</f>
        <v>18361.8</v>
      </c>
      <c r="G35" s="72">
        <f t="shared" ref="G35:H35" si="6">SUM(G36)</f>
        <v>19156.599999999999</v>
      </c>
      <c r="H35" s="72">
        <f t="shared" si="6"/>
        <v>19964.8</v>
      </c>
      <c r="I35" s="42" t="s">
        <v>28</v>
      </c>
      <c r="J35" s="68"/>
      <c r="K35" s="4"/>
    </row>
    <row r="36" spans="1:12" s="17" customFormat="1" ht="200.25" customHeight="1" x14ac:dyDescent="0.25">
      <c r="A36" s="74" t="s">
        <v>170</v>
      </c>
      <c r="B36" s="6" t="s">
        <v>29</v>
      </c>
      <c r="C36" s="1" t="s">
        <v>24</v>
      </c>
      <c r="D36" s="1">
        <v>244</v>
      </c>
      <c r="E36" s="1">
        <v>224</v>
      </c>
      <c r="F36" s="3">
        <v>18361.8</v>
      </c>
      <c r="G36" s="3">
        <v>19156.599999999999</v>
      </c>
      <c r="H36" s="3">
        <v>19964.8</v>
      </c>
      <c r="I36" s="42" t="s">
        <v>59</v>
      </c>
      <c r="J36" s="20" t="s">
        <v>110</v>
      </c>
      <c r="K36" s="9" t="s">
        <v>60</v>
      </c>
    </row>
    <row r="37" spans="1:12" s="17" customFormat="1" ht="382.5" customHeight="1" x14ac:dyDescent="0.25">
      <c r="A37" s="74" t="s">
        <v>26</v>
      </c>
      <c r="B37" s="70" t="s">
        <v>30</v>
      </c>
      <c r="C37" s="83"/>
      <c r="D37" s="83"/>
      <c r="E37" s="83"/>
      <c r="F37" s="84">
        <f>F38+F39+F40+F41+F42+F43+F44+F45+F46+F47</f>
        <v>35297.254141765239</v>
      </c>
      <c r="G37" s="84">
        <f>G38+G39+G40+G41+G42+G43+G44+G45+G46+G47</f>
        <v>37452.765927631146</v>
      </c>
      <c r="H37" s="84">
        <f>H38+H39+H40+H41+H42+H43+H44+H45+H46+H47</f>
        <v>39026.075090751663</v>
      </c>
      <c r="I37" s="6" t="s">
        <v>313</v>
      </c>
      <c r="J37" s="10" t="s">
        <v>141</v>
      </c>
      <c r="K37" s="4"/>
    </row>
    <row r="38" spans="1:12" s="17" customFormat="1" ht="167.25" customHeight="1" x14ac:dyDescent="0.25">
      <c r="A38" s="7" t="s">
        <v>172</v>
      </c>
      <c r="B38" s="6" t="s">
        <v>98</v>
      </c>
      <c r="C38" s="1" t="s">
        <v>24</v>
      </c>
      <c r="D38" s="1">
        <v>244</v>
      </c>
      <c r="E38" s="1">
        <v>226</v>
      </c>
      <c r="F38" s="3">
        <f>121.7*F2</f>
        <v>126.68969999999999</v>
      </c>
      <c r="G38" s="3">
        <f>F38*G2</f>
        <v>132.13735709999997</v>
      </c>
      <c r="H38" s="3">
        <f>G38*H2</f>
        <v>137.68712609819997</v>
      </c>
      <c r="I38" s="34" t="s">
        <v>287</v>
      </c>
      <c r="J38" s="20" t="s">
        <v>171</v>
      </c>
      <c r="K38" s="4"/>
    </row>
    <row r="39" spans="1:12" s="17" customFormat="1" ht="186.75" customHeight="1" x14ac:dyDescent="0.25">
      <c r="A39" s="7" t="s">
        <v>173</v>
      </c>
      <c r="B39" s="6" t="s">
        <v>292</v>
      </c>
      <c r="C39" s="1" t="s">
        <v>24</v>
      </c>
      <c r="D39" s="1">
        <v>244</v>
      </c>
      <c r="E39" s="1">
        <v>225</v>
      </c>
      <c r="F39" s="3">
        <f>110.9*F2</f>
        <v>115.4469</v>
      </c>
      <c r="G39" s="3">
        <f>F39*G2</f>
        <v>120.41111669999999</v>
      </c>
      <c r="H39" s="3">
        <f>G39*H2</f>
        <v>125.46838360139999</v>
      </c>
      <c r="I39" s="34" t="s">
        <v>288</v>
      </c>
      <c r="J39" s="20" t="s">
        <v>182</v>
      </c>
      <c r="K39" s="31"/>
    </row>
    <row r="40" spans="1:12" s="17" customFormat="1" ht="186.75" customHeight="1" x14ac:dyDescent="0.25">
      <c r="A40" s="7" t="s">
        <v>174</v>
      </c>
      <c r="B40" s="6" t="s">
        <v>33</v>
      </c>
      <c r="C40" s="1" t="s">
        <v>24</v>
      </c>
      <c r="D40" s="1">
        <v>244</v>
      </c>
      <c r="E40" s="1">
        <v>225</v>
      </c>
      <c r="F40" s="3">
        <f>1489.9*E2*F2</f>
        <v>1612.5600402299999</v>
      </c>
      <c r="G40" s="3">
        <f>F40*G2</f>
        <v>1681.9001219598897</v>
      </c>
      <c r="H40" s="3">
        <f>G40*H2</f>
        <v>1752.5399270822052</v>
      </c>
      <c r="I40" s="34" t="s">
        <v>317</v>
      </c>
      <c r="J40" s="20" t="s">
        <v>186</v>
      </c>
      <c r="K40" s="31"/>
    </row>
    <row r="41" spans="1:12" s="17" customFormat="1" ht="165" customHeight="1" x14ac:dyDescent="0.25">
      <c r="A41" s="7" t="s">
        <v>175</v>
      </c>
      <c r="B41" s="6" t="s">
        <v>34</v>
      </c>
      <c r="C41" s="1" t="s">
        <v>24</v>
      </c>
      <c r="D41" s="1">
        <v>244</v>
      </c>
      <c r="E41" s="1">
        <v>225</v>
      </c>
      <c r="F41" s="3">
        <f>99.9*F2*E2</f>
        <v>108.12453723</v>
      </c>
      <c r="G41" s="3">
        <f>F41*G2</f>
        <v>112.77389233088999</v>
      </c>
      <c r="H41" s="3">
        <f>G41*H2</f>
        <v>117.51039580878738</v>
      </c>
      <c r="I41" s="34" t="s">
        <v>289</v>
      </c>
      <c r="J41" s="20" t="s">
        <v>187</v>
      </c>
      <c r="K41" s="31"/>
    </row>
    <row r="42" spans="1:12" s="17" customFormat="1" ht="171" customHeight="1" x14ac:dyDescent="0.25">
      <c r="A42" s="7" t="s">
        <v>176</v>
      </c>
      <c r="B42" s="6" t="s">
        <v>35</v>
      </c>
      <c r="C42" s="1" t="s">
        <v>24</v>
      </c>
      <c r="D42" s="1">
        <v>244</v>
      </c>
      <c r="E42" s="1">
        <v>225</v>
      </c>
      <c r="F42" s="3">
        <f>2280.5*E2*F2+27.7*F2</f>
        <v>2497.08401985</v>
      </c>
      <c r="G42" s="3">
        <f>F42*G2</f>
        <v>2604.4586327035499</v>
      </c>
      <c r="H42" s="3">
        <f>G42*H2</f>
        <v>2713.8458952770993</v>
      </c>
      <c r="I42" s="34" t="s">
        <v>290</v>
      </c>
      <c r="J42" s="20" t="s">
        <v>188</v>
      </c>
      <c r="K42" s="31"/>
    </row>
    <row r="43" spans="1:12" s="17" customFormat="1" ht="149.25" customHeight="1" x14ac:dyDescent="0.25">
      <c r="A43" s="7" t="s">
        <v>177</v>
      </c>
      <c r="B43" s="6" t="s">
        <v>100</v>
      </c>
      <c r="C43" s="1" t="s">
        <v>24</v>
      </c>
      <c r="D43" s="1">
        <v>244</v>
      </c>
      <c r="E43" s="1">
        <v>225</v>
      </c>
      <c r="F43" s="3">
        <f>697.3*F2+43.6*F2</f>
        <v>771.27689999999996</v>
      </c>
      <c r="G43" s="3">
        <f>F43*G2</f>
        <v>804.44180669999992</v>
      </c>
      <c r="H43" s="3">
        <f>G43*H2</f>
        <v>838.22836258139989</v>
      </c>
      <c r="I43" s="34" t="s">
        <v>330</v>
      </c>
      <c r="J43" s="20" t="s">
        <v>189</v>
      </c>
      <c r="K43" s="31"/>
    </row>
    <row r="44" spans="1:12" s="17" customFormat="1" ht="234" customHeight="1" x14ac:dyDescent="0.25">
      <c r="A44" s="7" t="s">
        <v>178</v>
      </c>
      <c r="B44" s="6" t="s">
        <v>88</v>
      </c>
      <c r="C44" s="1" t="s">
        <v>24</v>
      </c>
      <c r="D44" s="1">
        <v>244</v>
      </c>
      <c r="E44" s="1">
        <v>225</v>
      </c>
      <c r="F44" s="3">
        <v>3966.7</v>
      </c>
      <c r="G44" s="3">
        <f>F44*G2</f>
        <v>4137.2680999999993</v>
      </c>
      <c r="H44" s="3">
        <f>G44*H2</f>
        <v>4311.0333601999992</v>
      </c>
      <c r="I44" s="34" t="s">
        <v>291</v>
      </c>
      <c r="J44" s="20" t="s">
        <v>89</v>
      </c>
      <c r="K44" s="4"/>
    </row>
    <row r="45" spans="1:12" s="17" customFormat="1" ht="176.25" customHeight="1" x14ac:dyDescent="0.25">
      <c r="A45" s="7" t="s">
        <v>179</v>
      </c>
      <c r="B45" s="6" t="s">
        <v>103</v>
      </c>
      <c r="C45" s="1" t="s">
        <v>24</v>
      </c>
      <c r="D45" s="1">
        <v>244</v>
      </c>
      <c r="E45" s="1">
        <v>225</v>
      </c>
      <c r="F45" s="3">
        <f>173*52*2*0.02733*F2</f>
        <v>511.88193575999998</v>
      </c>
      <c r="G45" s="3">
        <f>F45*G2</f>
        <v>533.89285899767992</v>
      </c>
      <c r="H45" s="3">
        <f>G45*H2</f>
        <v>556.31635907558245</v>
      </c>
      <c r="I45" s="34" t="s">
        <v>294</v>
      </c>
      <c r="J45" s="20" t="s">
        <v>190</v>
      </c>
      <c r="K45" s="4"/>
    </row>
    <row r="46" spans="1:12" s="17" customFormat="1" ht="196.5" customHeight="1" x14ac:dyDescent="0.25">
      <c r="A46" s="7" t="s">
        <v>180</v>
      </c>
      <c r="B46" s="6" t="s">
        <v>106</v>
      </c>
      <c r="C46" s="1" t="s">
        <v>24</v>
      </c>
      <c r="D46" s="1">
        <v>244</v>
      </c>
      <c r="E46" s="1">
        <v>225</v>
      </c>
      <c r="F46" s="3">
        <f>4219.39102/20*24/10*12*E2*F2</f>
        <v>6576.139840431244</v>
      </c>
      <c r="G46" s="3">
        <f>F46*G2</f>
        <v>6858.9138535697866</v>
      </c>
      <c r="H46" s="3">
        <f>G46*H2</f>
        <v>7146.988235419718</v>
      </c>
      <c r="I46" s="34" t="s">
        <v>318</v>
      </c>
      <c r="J46" s="20" t="s">
        <v>70</v>
      </c>
      <c r="K46" s="4"/>
    </row>
    <row r="47" spans="1:12" s="17" customFormat="1" ht="409.5" customHeight="1" x14ac:dyDescent="0.25">
      <c r="A47" s="7" t="s">
        <v>181</v>
      </c>
      <c r="B47" s="6" t="s">
        <v>312</v>
      </c>
      <c r="C47" s="1" t="s">
        <v>24</v>
      </c>
      <c r="D47" s="1">
        <v>244</v>
      </c>
      <c r="E47" s="44" t="s">
        <v>250</v>
      </c>
      <c r="F47" s="3">
        <f>SUM(F48:F65)</f>
        <v>19011.350268263999</v>
      </c>
      <c r="G47" s="3">
        <f t="shared" ref="G47:H47" si="7">SUM(G48:G65)</f>
        <v>20466.568187569352</v>
      </c>
      <c r="H47" s="3">
        <f t="shared" si="7"/>
        <v>21326.457045607265</v>
      </c>
      <c r="I47" s="34" t="s">
        <v>321</v>
      </c>
      <c r="J47" s="20"/>
      <c r="K47" s="4"/>
    </row>
    <row r="48" spans="1:12" s="17" customFormat="1" ht="95.25" hidden="1" customHeight="1" outlineLevel="1" x14ac:dyDescent="0.25">
      <c r="A48" s="7" t="s">
        <v>191</v>
      </c>
      <c r="B48" s="6" t="s">
        <v>97</v>
      </c>
      <c r="C48" s="1" t="s">
        <v>24</v>
      </c>
      <c r="D48" s="1">
        <v>244</v>
      </c>
      <c r="E48" s="1">
        <v>226</v>
      </c>
      <c r="F48" s="3">
        <f>19.8*F2</f>
        <v>20.611799999999999</v>
      </c>
      <c r="G48" s="3">
        <f>F48*G2</f>
        <v>21.498107399999999</v>
      </c>
      <c r="H48" s="3">
        <f>G48*H2</f>
        <v>22.4010279108</v>
      </c>
      <c r="I48" s="5"/>
      <c r="J48" s="20" t="s">
        <v>200</v>
      </c>
      <c r="K48" s="5"/>
    </row>
    <row r="49" spans="1:17" s="17" customFormat="1" ht="93.75" hidden="1" customHeight="1" outlineLevel="1" x14ac:dyDescent="0.25">
      <c r="A49" s="7" t="s">
        <v>192</v>
      </c>
      <c r="B49" s="6" t="s">
        <v>99</v>
      </c>
      <c r="C49" s="1" t="s">
        <v>24</v>
      </c>
      <c r="D49" s="1">
        <v>244</v>
      </c>
      <c r="E49" s="1">
        <v>225</v>
      </c>
      <c r="F49" s="3">
        <f>16.92*F2</f>
        <v>17.613720000000001</v>
      </c>
      <c r="G49" s="3">
        <f>F49*G2</f>
        <v>18.371109959999998</v>
      </c>
      <c r="H49" s="3">
        <f>G49*H2</f>
        <v>19.142696578319999</v>
      </c>
      <c r="I49" s="5"/>
      <c r="J49" s="20" t="s">
        <v>69</v>
      </c>
      <c r="K49" s="31"/>
    </row>
    <row r="50" spans="1:17" s="17" customFormat="1" ht="79.5" hidden="1" customHeight="1" outlineLevel="1" x14ac:dyDescent="0.25">
      <c r="A50" s="7" t="s">
        <v>193</v>
      </c>
      <c r="B50" s="6" t="s">
        <v>101</v>
      </c>
      <c r="C50" s="1" t="s">
        <v>24</v>
      </c>
      <c r="D50" s="1">
        <v>244</v>
      </c>
      <c r="E50" s="1">
        <v>225</v>
      </c>
      <c r="F50" s="3">
        <v>10.4</v>
      </c>
      <c r="G50" s="3">
        <f>F50*G2</f>
        <v>10.847199999999999</v>
      </c>
      <c r="H50" s="3">
        <f>G50*H2</f>
        <v>11.3027824</v>
      </c>
      <c r="I50" s="5"/>
      <c r="J50" s="20" t="s">
        <v>201</v>
      </c>
      <c r="K50" s="4"/>
    </row>
    <row r="51" spans="1:17" s="17" customFormat="1" ht="154.5" hidden="1" customHeight="1" outlineLevel="1" x14ac:dyDescent="0.25">
      <c r="A51" s="7" t="s">
        <v>194</v>
      </c>
      <c r="B51" s="6" t="s">
        <v>102</v>
      </c>
      <c r="C51" s="1" t="s">
        <v>24</v>
      </c>
      <c r="D51" s="1">
        <v>244</v>
      </c>
      <c r="E51" s="1">
        <v>225</v>
      </c>
      <c r="F51" s="19">
        <f>180*0.023*6</f>
        <v>24.839999999999996</v>
      </c>
      <c r="G51" s="19">
        <f>180*0.024*6</f>
        <v>25.92</v>
      </c>
      <c r="H51" s="19">
        <f>180*0.025*6</f>
        <v>27</v>
      </c>
      <c r="I51" s="5"/>
      <c r="J51" s="20"/>
      <c r="K51" s="9" t="s">
        <v>90</v>
      </c>
    </row>
    <row r="52" spans="1:17" s="17" customFormat="1" ht="95.25" hidden="1" customHeight="1" outlineLevel="1" x14ac:dyDescent="0.25">
      <c r="A52" s="7" t="s">
        <v>195</v>
      </c>
      <c r="B52" s="6" t="s">
        <v>104</v>
      </c>
      <c r="C52" s="1" t="s">
        <v>24</v>
      </c>
      <c r="D52" s="1">
        <v>244</v>
      </c>
      <c r="E52" s="1">
        <v>225</v>
      </c>
      <c r="F52" s="3">
        <f>220*0.03167*F2</f>
        <v>7.2530633999999994</v>
      </c>
      <c r="G52" s="3">
        <f>F52*G2</f>
        <v>7.5649451261999987</v>
      </c>
      <c r="H52" s="3">
        <f>G52*H2</f>
        <v>7.8826728215003987</v>
      </c>
      <c r="I52" s="5"/>
      <c r="J52" s="20" t="s">
        <v>202</v>
      </c>
      <c r="K52" s="4"/>
    </row>
    <row r="53" spans="1:17" s="17" customFormat="1" ht="85.5" hidden="1" customHeight="1" outlineLevel="1" x14ac:dyDescent="0.25">
      <c r="A53" s="7" t="s">
        <v>196</v>
      </c>
      <c r="B53" s="6" t="s">
        <v>105</v>
      </c>
      <c r="C53" s="1" t="s">
        <v>24</v>
      </c>
      <c r="D53" s="1">
        <v>244</v>
      </c>
      <c r="E53" s="1">
        <v>225</v>
      </c>
      <c r="F53" s="3">
        <f>21.4*F2</f>
        <v>22.277399999999997</v>
      </c>
      <c r="G53" s="3">
        <f>F53*G2</f>
        <v>23.235328199999994</v>
      </c>
      <c r="H53" s="3">
        <f>G53*H2</f>
        <v>24.211211984399995</v>
      </c>
      <c r="I53" s="5"/>
      <c r="J53" s="20" t="s">
        <v>203</v>
      </c>
      <c r="K53" s="4"/>
    </row>
    <row r="54" spans="1:17" s="17" customFormat="1" ht="107.25" hidden="1" customHeight="1" outlineLevel="1" x14ac:dyDescent="0.3">
      <c r="A54" s="7" t="s">
        <v>197</v>
      </c>
      <c r="B54" s="6" t="s">
        <v>279</v>
      </c>
      <c r="C54" s="1" t="s">
        <v>24</v>
      </c>
      <c r="D54" s="1">
        <v>244</v>
      </c>
      <c r="E54" s="1">
        <v>226</v>
      </c>
      <c r="F54" s="3">
        <f>101.1*F2</f>
        <v>105.24509999999998</v>
      </c>
      <c r="G54" s="3">
        <f>F54*G2</f>
        <v>109.77063929999997</v>
      </c>
      <c r="H54" s="3">
        <f>G54*H2</f>
        <v>114.38100615059997</v>
      </c>
      <c r="I54" s="5"/>
      <c r="J54" s="20" t="s">
        <v>253</v>
      </c>
      <c r="K54" s="36"/>
    </row>
    <row r="55" spans="1:17" s="17" customFormat="1" ht="139.5" hidden="1" customHeight="1" outlineLevel="1" x14ac:dyDescent="0.3">
      <c r="A55" s="7" t="s">
        <v>268</v>
      </c>
      <c r="B55" s="6" t="s">
        <v>111</v>
      </c>
      <c r="C55" s="1" t="s">
        <v>24</v>
      </c>
      <c r="D55" s="1">
        <v>244</v>
      </c>
      <c r="E55" s="1">
        <v>226</v>
      </c>
      <c r="F55" s="3">
        <f>171.9*F2</f>
        <v>178.9479</v>
      </c>
      <c r="G55" s="3">
        <f>F55*G2</f>
        <v>186.6426597</v>
      </c>
      <c r="H55" s="3">
        <f>G55*H2</f>
        <v>194.48165140739999</v>
      </c>
      <c r="I55" s="5"/>
      <c r="J55" s="20" t="s">
        <v>254</v>
      </c>
      <c r="K55" s="36"/>
      <c r="L55" s="86"/>
    </row>
    <row r="56" spans="1:17" s="17" customFormat="1" ht="98.25" hidden="1" customHeight="1" outlineLevel="1" x14ac:dyDescent="0.3">
      <c r="A56" s="7" t="s">
        <v>269</v>
      </c>
      <c r="B56" s="6" t="s">
        <v>112</v>
      </c>
      <c r="C56" s="1" t="s">
        <v>24</v>
      </c>
      <c r="D56" s="1">
        <v>244</v>
      </c>
      <c r="E56" s="1">
        <v>226</v>
      </c>
      <c r="F56" s="3">
        <f>29.3*F2</f>
        <v>30.501299999999997</v>
      </c>
      <c r="G56" s="3">
        <f>F56*G2</f>
        <v>31.812855899999995</v>
      </c>
      <c r="H56" s="3">
        <f>G56*H2</f>
        <v>33.148995847799995</v>
      </c>
      <c r="I56" s="5"/>
      <c r="J56" s="20" t="s">
        <v>281</v>
      </c>
      <c r="K56" s="36"/>
    </row>
    <row r="57" spans="1:17" s="17" customFormat="1" ht="106.5" hidden="1" customHeight="1" outlineLevel="1" x14ac:dyDescent="0.25">
      <c r="A57" s="7" t="s">
        <v>270</v>
      </c>
      <c r="B57" s="6" t="s">
        <v>31</v>
      </c>
      <c r="C57" s="1" t="s">
        <v>24</v>
      </c>
      <c r="D57" s="1">
        <v>244</v>
      </c>
      <c r="E57" s="1">
        <v>225</v>
      </c>
      <c r="F57" s="3">
        <f>11060.8*0.32488*F2</f>
        <v>3740.7634448639997</v>
      </c>
      <c r="G57" s="3">
        <f>F57*G2</f>
        <v>3901.6162729931516</v>
      </c>
      <c r="H57" s="3">
        <f>G57*H2</f>
        <v>4065.4841564588642</v>
      </c>
      <c r="I57" s="5"/>
      <c r="J57" s="20" t="s">
        <v>338</v>
      </c>
      <c r="K57" s="9"/>
      <c r="L57" s="17">
        <f>5082.5</f>
        <v>5082.5</v>
      </c>
      <c r="M57" s="17">
        <f>5301.1</f>
        <v>5301.1</v>
      </c>
      <c r="N57" s="17">
        <f>5523.7</f>
        <v>5523.7</v>
      </c>
      <c r="O57" s="87">
        <f>L57-F57</f>
        <v>1341.7365551360003</v>
      </c>
      <c r="P57" s="87">
        <f>M57-G57</f>
        <v>1399.4837270068488</v>
      </c>
      <c r="Q57" s="87">
        <f>N57-H57</f>
        <v>1458.2158435411357</v>
      </c>
    </row>
    <row r="58" spans="1:17" s="17" customFormat="1" ht="151.5" hidden="1" customHeight="1" outlineLevel="1" x14ac:dyDescent="0.25">
      <c r="A58" s="7" t="s">
        <v>271</v>
      </c>
      <c r="B58" s="6" t="s">
        <v>280</v>
      </c>
      <c r="C58" s="1" t="s">
        <v>24</v>
      </c>
      <c r="D58" s="1">
        <v>244</v>
      </c>
      <c r="E58" s="1">
        <v>225</v>
      </c>
      <c r="F58" s="3">
        <v>1936.1</v>
      </c>
      <c r="G58" s="3">
        <v>2252.9</v>
      </c>
      <c r="H58" s="3">
        <v>2347.6999999999998</v>
      </c>
      <c r="I58" s="5"/>
      <c r="J58" s="20"/>
      <c r="K58" s="16" t="s">
        <v>339</v>
      </c>
    </row>
    <row r="59" spans="1:17" s="17" customFormat="1" ht="129" hidden="1" customHeight="1" outlineLevel="1" x14ac:dyDescent="0.25">
      <c r="A59" s="7" t="s">
        <v>272</v>
      </c>
      <c r="B59" s="6" t="s">
        <v>114</v>
      </c>
      <c r="C59" s="1" t="s">
        <v>24</v>
      </c>
      <c r="D59" s="1">
        <v>244</v>
      </c>
      <c r="E59" s="1">
        <v>225</v>
      </c>
      <c r="F59" s="3">
        <f>15873*0.01557</f>
        <v>247.14261000000002</v>
      </c>
      <c r="G59" s="3">
        <f>15873*0.01624</f>
        <v>257.77752000000004</v>
      </c>
      <c r="H59" s="3">
        <f>15873*0.01692</f>
        <v>268.57116000000002</v>
      </c>
      <c r="I59" s="5"/>
      <c r="J59" s="20"/>
      <c r="K59" s="9" t="s">
        <v>258</v>
      </c>
    </row>
    <row r="60" spans="1:17" s="17" customFormat="1" ht="132" hidden="1" customHeight="1" outlineLevel="1" x14ac:dyDescent="0.25">
      <c r="A60" s="7" t="s">
        <v>273</v>
      </c>
      <c r="B60" s="6" t="s">
        <v>32</v>
      </c>
      <c r="C60" s="1" t="s">
        <v>24</v>
      </c>
      <c r="D60" s="1">
        <v>244</v>
      </c>
      <c r="E60" s="1">
        <v>225</v>
      </c>
      <c r="F60" s="3">
        <v>510.2</v>
      </c>
      <c r="G60" s="3">
        <f>F60*G2</f>
        <v>532.1386</v>
      </c>
      <c r="H60" s="3">
        <f>G60*H2</f>
        <v>554.48842120000006</v>
      </c>
      <c r="I60" s="5"/>
      <c r="J60" s="20" t="s">
        <v>256</v>
      </c>
      <c r="K60" s="37"/>
    </row>
    <row r="61" spans="1:17" s="17" customFormat="1" ht="99.75" hidden="1" customHeight="1" outlineLevel="1" x14ac:dyDescent="0.25">
      <c r="A61" s="7" t="s">
        <v>274</v>
      </c>
      <c r="B61" s="6" t="s">
        <v>36</v>
      </c>
      <c r="C61" s="1" t="s">
        <v>24</v>
      </c>
      <c r="D61" s="1">
        <v>244</v>
      </c>
      <c r="E61" s="1">
        <v>225</v>
      </c>
      <c r="F61" s="3">
        <f>542*0.715*F2</f>
        <v>403.41872999999993</v>
      </c>
      <c r="G61" s="3">
        <f>F61*G2</f>
        <v>420.76573538999992</v>
      </c>
      <c r="H61" s="3">
        <f>G61*H2</f>
        <v>438.43789627637994</v>
      </c>
      <c r="I61" s="5"/>
      <c r="J61" s="20" t="s">
        <v>257</v>
      </c>
      <c r="K61" s="37"/>
    </row>
    <row r="62" spans="1:17" s="73" customFormat="1" ht="130.5" hidden="1" customHeight="1" outlineLevel="1" x14ac:dyDescent="0.25">
      <c r="A62" s="7" t="s">
        <v>275</v>
      </c>
      <c r="B62" s="6" t="s">
        <v>115</v>
      </c>
      <c r="C62" s="1" t="s">
        <v>24</v>
      </c>
      <c r="D62" s="1">
        <v>244</v>
      </c>
      <c r="E62" s="1">
        <v>226</v>
      </c>
      <c r="F62" s="3">
        <f>547.2*F2</f>
        <v>569.63520000000005</v>
      </c>
      <c r="G62" s="3">
        <f>F62*G2</f>
        <v>594.1295136</v>
      </c>
      <c r="H62" s="3">
        <f>G62*H2</f>
        <v>619.08295317120007</v>
      </c>
      <c r="I62" s="24"/>
      <c r="J62" s="20" t="s">
        <v>78</v>
      </c>
      <c r="K62" s="25"/>
    </row>
    <row r="63" spans="1:17" s="73" customFormat="1" ht="111" hidden="1" customHeight="1" outlineLevel="1" x14ac:dyDescent="0.25">
      <c r="A63" s="7" t="s">
        <v>276</v>
      </c>
      <c r="B63" s="6" t="s">
        <v>116</v>
      </c>
      <c r="C63" s="1" t="s">
        <v>24</v>
      </c>
      <c r="D63" s="1">
        <v>244</v>
      </c>
      <c r="E63" s="1">
        <v>226</v>
      </c>
      <c r="F63" s="3">
        <v>11173.9</v>
      </c>
      <c r="G63" s="3">
        <f>F63*G2</f>
        <v>11654.377699999999</v>
      </c>
      <c r="H63" s="3">
        <f>G63*H2</f>
        <v>12143.8615634</v>
      </c>
      <c r="I63" s="24"/>
      <c r="J63" s="20" t="s">
        <v>66</v>
      </c>
      <c r="K63" s="25"/>
    </row>
    <row r="64" spans="1:17" s="73" customFormat="1" ht="152.25" hidden="1" customHeight="1" outlineLevel="1" x14ac:dyDescent="0.25">
      <c r="A64" s="7" t="s">
        <v>277</v>
      </c>
      <c r="B64" s="6" t="s">
        <v>117</v>
      </c>
      <c r="C64" s="1" t="s">
        <v>24</v>
      </c>
      <c r="D64" s="1">
        <v>244</v>
      </c>
      <c r="E64" s="1">
        <v>226</v>
      </c>
      <c r="F64" s="3">
        <f>2.5*5</f>
        <v>12.5</v>
      </c>
      <c r="G64" s="3">
        <f>2.5*60*G2</f>
        <v>156.44999999999999</v>
      </c>
      <c r="H64" s="3">
        <f>G64*G2</f>
        <v>163.17734999999999</v>
      </c>
      <c r="I64" s="24"/>
      <c r="J64" s="20" t="s">
        <v>259</v>
      </c>
      <c r="K64" s="25"/>
    </row>
    <row r="65" spans="1:14" s="73" customFormat="1" ht="139.5" hidden="1" customHeight="1" outlineLevel="1" x14ac:dyDescent="0.25">
      <c r="A65" s="7" t="s">
        <v>278</v>
      </c>
      <c r="B65" s="6" t="s">
        <v>118</v>
      </c>
      <c r="C65" s="1" t="s">
        <v>24</v>
      </c>
      <c r="D65" s="1">
        <v>244</v>
      </c>
      <c r="E65" s="1">
        <v>226</v>
      </c>
      <c r="F65" s="3">
        <v>0</v>
      </c>
      <c r="G65" s="3">
        <f>2.5*100*G2</f>
        <v>260.75</v>
      </c>
      <c r="H65" s="3">
        <f>G65*H2</f>
        <v>271.70150000000001</v>
      </c>
      <c r="I65" s="24"/>
      <c r="J65" s="20" t="s">
        <v>260</v>
      </c>
      <c r="K65" s="25"/>
    </row>
    <row r="66" spans="1:14" s="17" customFormat="1" ht="235.5" customHeight="1" collapsed="1" x14ac:dyDescent="0.25">
      <c r="A66" s="69" t="s">
        <v>212</v>
      </c>
      <c r="B66" s="70" t="s">
        <v>37</v>
      </c>
      <c r="C66" s="69"/>
      <c r="D66" s="71"/>
      <c r="E66" s="71"/>
      <c r="F66" s="72">
        <f>F67+F68+F71+F72</f>
        <v>1325.5548702399997</v>
      </c>
      <c r="G66" s="72">
        <f t="shared" ref="G66:H66" si="8">G67+G68+G71+G72</f>
        <v>1316.4275296603198</v>
      </c>
      <c r="H66" s="72">
        <f t="shared" si="8"/>
        <v>1371.7174859060533</v>
      </c>
      <c r="I66" s="10" t="s">
        <v>342</v>
      </c>
      <c r="J66" s="10" t="s">
        <v>109</v>
      </c>
      <c r="K66" s="4"/>
    </row>
    <row r="67" spans="1:14" s="17" customFormat="1" ht="162.75" customHeight="1" x14ac:dyDescent="0.3">
      <c r="A67" s="7" t="s">
        <v>213</v>
      </c>
      <c r="B67" s="6" t="s">
        <v>311</v>
      </c>
      <c r="C67" s="1" t="s">
        <v>24</v>
      </c>
      <c r="D67" s="1">
        <v>244</v>
      </c>
      <c r="E67" s="44">
        <v>346</v>
      </c>
      <c r="F67" s="8">
        <v>63.4</v>
      </c>
      <c r="G67" s="8">
        <v>0</v>
      </c>
      <c r="H67" s="8">
        <v>0</v>
      </c>
      <c r="I67" s="10" t="s">
        <v>293</v>
      </c>
      <c r="J67" s="20" t="s">
        <v>204</v>
      </c>
      <c r="K67" s="35"/>
    </row>
    <row r="68" spans="1:14" s="73" customFormat="1" ht="183" customHeight="1" x14ac:dyDescent="0.25">
      <c r="A68" s="7" t="s">
        <v>214</v>
      </c>
      <c r="B68" s="6" t="s">
        <v>38</v>
      </c>
      <c r="C68" s="1" t="s">
        <v>24</v>
      </c>
      <c r="D68" s="1">
        <v>244</v>
      </c>
      <c r="E68" s="1">
        <v>226</v>
      </c>
      <c r="F68" s="3">
        <f>F69+F70</f>
        <v>1062.8609999999996</v>
      </c>
      <c r="G68" s="3">
        <f>G69+G70</f>
        <v>1108.5640229999997</v>
      </c>
      <c r="H68" s="3">
        <f>H69+H70</f>
        <v>1155.1237119659997</v>
      </c>
      <c r="I68" s="10" t="s">
        <v>331</v>
      </c>
      <c r="J68" s="20"/>
      <c r="K68" s="4"/>
    </row>
    <row r="69" spans="1:14" s="73" customFormat="1" ht="126.75" hidden="1" customHeight="1" outlineLevel="1" x14ac:dyDescent="0.25">
      <c r="A69" s="7" t="s">
        <v>215</v>
      </c>
      <c r="B69" s="88" t="s">
        <v>107</v>
      </c>
      <c r="C69" s="21" t="s">
        <v>24</v>
      </c>
      <c r="D69" s="21">
        <v>244</v>
      </c>
      <c r="E69" s="21">
        <v>226</v>
      </c>
      <c r="F69" s="22">
        <f>82.3*12*F2</f>
        <v>1028.0915999999997</v>
      </c>
      <c r="G69" s="22">
        <f>F69*G2</f>
        <v>1072.2995387999997</v>
      </c>
      <c r="H69" s="22">
        <f>G69*H2</f>
        <v>1117.3361194295996</v>
      </c>
      <c r="I69" s="23"/>
      <c r="J69" s="20" t="s">
        <v>206</v>
      </c>
      <c r="K69" s="4" t="s">
        <v>144</v>
      </c>
      <c r="L69" s="73">
        <v>33345</v>
      </c>
      <c r="M69" s="73">
        <f>L69/N70</f>
        <v>8.2029520295202953</v>
      </c>
    </row>
    <row r="70" spans="1:14" s="73" customFormat="1" ht="95.25" hidden="1" customHeight="1" outlineLevel="1" x14ac:dyDescent="0.25">
      <c r="A70" s="7" t="s">
        <v>216</v>
      </c>
      <c r="B70" s="88" t="s">
        <v>108</v>
      </c>
      <c r="C70" s="21" t="s">
        <v>24</v>
      </c>
      <c r="D70" s="21">
        <v>244</v>
      </c>
      <c r="E70" s="21">
        <v>226</v>
      </c>
      <c r="F70" s="22">
        <f>33.4*F2</f>
        <v>34.769399999999997</v>
      </c>
      <c r="G70" s="22">
        <f>F70*G2</f>
        <v>36.264484199999998</v>
      </c>
      <c r="H70" s="22">
        <f>G70*H2</f>
        <v>37.787592536399998</v>
      </c>
      <c r="I70" s="23"/>
      <c r="J70" s="20" t="s">
        <v>207</v>
      </c>
      <c r="K70" s="4"/>
      <c r="L70" s="73">
        <v>2565</v>
      </c>
      <c r="M70" s="73">
        <v>1500</v>
      </c>
      <c r="N70" s="73">
        <f>M70+L70</f>
        <v>4065</v>
      </c>
    </row>
    <row r="71" spans="1:14" s="73" customFormat="1" ht="173.25" customHeight="1" collapsed="1" x14ac:dyDescent="0.25">
      <c r="A71" s="7" t="s">
        <v>217</v>
      </c>
      <c r="B71" s="6" t="s">
        <v>39</v>
      </c>
      <c r="C71" s="1" t="s">
        <v>24</v>
      </c>
      <c r="D71" s="1">
        <v>244</v>
      </c>
      <c r="E71" s="1">
        <v>227</v>
      </c>
      <c r="F71" s="3">
        <f>(146.7+7.04132+8.00332)*F2</f>
        <v>168.37617023999999</v>
      </c>
      <c r="G71" s="3">
        <f>F71*G2</f>
        <v>175.61634556031998</v>
      </c>
      <c r="H71" s="3">
        <f>G71*H2</f>
        <v>182.99223207385344</v>
      </c>
      <c r="I71" s="10" t="s">
        <v>208</v>
      </c>
      <c r="J71" s="20" t="s">
        <v>209</v>
      </c>
      <c r="K71" s="4"/>
    </row>
    <row r="72" spans="1:14" s="73" customFormat="1" ht="122.25" customHeight="1" x14ac:dyDescent="0.25">
      <c r="A72" s="7" t="s">
        <v>249</v>
      </c>
      <c r="B72" s="6" t="s">
        <v>96</v>
      </c>
      <c r="C72" s="1" t="s">
        <v>24</v>
      </c>
      <c r="D72" s="1">
        <v>244</v>
      </c>
      <c r="E72" s="1">
        <v>227</v>
      </c>
      <c r="F72" s="3">
        <f>29.7*F2</f>
        <v>30.917699999999996</v>
      </c>
      <c r="G72" s="3">
        <f>F72*G2</f>
        <v>32.247161099999992</v>
      </c>
      <c r="H72" s="3">
        <f>G72*H2</f>
        <v>33.601541866199995</v>
      </c>
      <c r="I72" s="10" t="s">
        <v>295</v>
      </c>
      <c r="J72" s="20" t="s">
        <v>199</v>
      </c>
      <c r="K72" s="4"/>
    </row>
    <row r="73" spans="1:14" s="73" customFormat="1" ht="113.25" customHeight="1" x14ac:dyDescent="0.25">
      <c r="A73" s="69" t="s">
        <v>218</v>
      </c>
      <c r="B73" s="70" t="s">
        <v>40</v>
      </c>
      <c r="C73" s="89" t="s">
        <v>24</v>
      </c>
      <c r="D73" s="89">
        <v>244</v>
      </c>
      <c r="E73" s="89">
        <v>310</v>
      </c>
      <c r="F73" s="72">
        <f>SUM(F74:F76)</f>
        <v>4573.9267500000005</v>
      </c>
      <c r="G73" s="72">
        <f>SUM(G74:G76)</f>
        <v>263.39999999999998</v>
      </c>
      <c r="H73" s="72">
        <f>SUM(H74:H76)</f>
        <v>274.39999999999998</v>
      </c>
      <c r="I73" s="10" t="s">
        <v>251</v>
      </c>
      <c r="J73" s="20"/>
      <c r="K73" s="4"/>
    </row>
    <row r="74" spans="1:14" s="73" customFormat="1" ht="231.75" customHeight="1" x14ac:dyDescent="0.25">
      <c r="A74" s="7" t="s">
        <v>234</v>
      </c>
      <c r="B74" s="6" t="s">
        <v>65</v>
      </c>
      <c r="C74" s="1" t="s">
        <v>24</v>
      </c>
      <c r="D74" s="1">
        <v>244</v>
      </c>
      <c r="E74" s="1">
        <v>310</v>
      </c>
      <c r="F74" s="3">
        <f>1439.4+749.1</f>
        <v>2188.5</v>
      </c>
      <c r="G74" s="3">
        <v>0</v>
      </c>
      <c r="H74" s="3">
        <v>0</v>
      </c>
      <c r="I74" s="10" t="s">
        <v>332</v>
      </c>
      <c r="J74" s="20" t="s">
        <v>219</v>
      </c>
      <c r="K74" s="9"/>
    </row>
    <row r="75" spans="1:14" s="73" customFormat="1" ht="210" customHeight="1" x14ac:dyDescent="0.25">
      <c r="A75" s="7" t="s">
        <v>235</v>
      </c>
      <c r="B75" s="6" t="s">
        <v>211</v>
      </c>
      <c r="C75" s="1" t="s">
        <v>24</v>
      </c>
      <c r="D75" s="1">
        <v>244</v>
      </c>
      <c r="E75" s="1">
        <v>310</v>
      </c>
      <c r="F75" s="8">
        <f>50/8*40393/1000</f>
        <v>252.45625000000001</v>
      </c>
      <c r="G75" s="8">
        <v>263.39999999999998</v>
      </c>
      <c r="H75" s="8">
        <v>274.39999999999998</v>
      </c>
      <c r="I75" s="10" t="s">
        <v>210</v>
      </c>
      <c r="J75" s="20"/>
      <c r="K75" s="9" t="s">
        <v>337</v>
      </c>
      <c r="L75" s="73">
        <f>258/8</f>
        <v>32.25</v>
      </c>
      <c r="M75" s="73">
        <f>143/8</f>
        <v>17.875</v>
      </c>
    </row>
    <row r="76" spans="1:14" s="73" customFormat="1" ht="336" customHeight="1" x14ac:dyDescent="0.25">
      <c r="A76" s="7" t="s">
        <v>236</v>
      </c>
      <c r="B76" s="6" t="s">
        <v>299</v>
      </c>
      <c r="C76" s="1" t="s">
        <v>24</v>
      </c>
      <c r="D76" s="1">
        <v>244</v>
      </c>
      <c r="E76" s="1">
        <v>310</v>
      </c>
      <c r="F76" s="8">
        <f>SUM(F77:F85)</f>
        <v>2132.9704999999999</v>
      </c>
      <c r="G76" s="8">
        <f>SUM(G77:G85)</f>
        <v>0</v>
      </c>
      <c r="H76" s="8">
        <f>SUM(H77:H85)</f>
        <v>0</v>
      </c>
      <c r="I76" s="10" t="s">
        <v>324</v>
      </c>
      <c r="J76" s="20"/>
      <c r="K76" s="9"/>
    </row>
    <row r="77" spans="1:14" s="73" customFormat="1" ht="68.25" hidden="1" customHeight="1" outlineLevel="1" x14ac:dyDescent="0.25">
      <c r="A77" s="7" t="s">
        <v>237</v>
      </c>
      <c r="B77" s="90" t="s">
        <v>132</v>
      </c>
      <c r="C77" s="1" t="s">
        <v>24</v>
      </c>
      <c r="D77" s="1">
        <v>244</v>
      </c>
      <c r="E77" s="1">
        <v>310</v>
      </c>
      <c r="F77" s="3">
        <v>279.10000000000002</v>
      </c>
      <c r="G77" s="3">
        <v>0</v>
      </c>
      <c r="H77" s="3">
        <v>0</v>
      </c>
      <c r="I77" s="10"/>
      <c r="J77" s="20" t="s">
        <v>229</v>
      </c>
      <c r="K77" s="9"/>
    </row>
    <row r="78" spans="1:14" s="73" customFormat="1" ht="72.75" hidden="1" customHeight="1" outlineLevel="1" x14ac:dyDescent="0.25">
      <c r="A78" s="7" t="s">
        <v>238</v>
      </c>
      <c r="B78" s="90" t="s">
        <v>134</v>
      </c>
      <c r="C78" s="1" t="s">
        <v>24</v>
      </c>
      <c r="D78" s="1">
        <v>244</v>
      </c>
      <c r="E78" s="1">
        <v>310</v>
      </c>
      <c r="F78" s="3">
        <f>61*F2</f>
        <v>63.500999999999998</v>
      </c>
      <c r="G78" s="3">
        <v>0</v>
      </c>
      <c r="H78" s="3">
        <v>0</v>
      </c>
      <c r="I78" s="10"/>
      <c r="J78" s="20" t="s">
        <v>222</v>
      </c>
      <c r="K78" s="9"/>
    </row>
    <row r="79" spans="1:14" s="73" customFormat="1" ht="66.75" hidden="1" customHeight="1" outlineLevel="1" x14ac:dyDescent="0.25">
      <c r="A79" s="7" t="s">
        <v>239</v>
      </c>
      <c r="B79" s="90" t="s">
        <v>133</v>
      </c>
      <c r="C79" s="1" t="s">
        <v>24</v>
      </c>
      <c r="D79" s="1">
        <v>244</v>
      </c>
      <c r="E79" s="1">
        <v>310</v>
      </c>
      <c r="F79" s="3">
        <f>404.2*F2</f>
        <v>420.77219999999994</v>
      </c>
      <c r="G79" s="3">
        <v>0</v>
      </c>
      <c r="H79" s="3">
        <v>0</v>
      </c>
      <c r="I79" s="10"/>
      <c r="J79" s="20" t="s">
        <v>223</v>
      </c>
      <c r="K79" s="9"/>
    </row>
    <row r="80" spans="1:14" s="73" customFormat="1" ht="64.5" hidden="1" customHeight="1" outlineLevel="1" x14ac:dyDescent="0.25">
      <c r="A80" s="7" t="s">
        <v>240</v>
      </c>
      <c r="B80" s="90" t="s">
        <v>135</v>
      </c>
      <c r="C80" s="1" t="s">
        <v>24</v>
      </c>
      <c r="D80" s="1">
        <v>244</v>
      </c>
      <c r="E80" s="1">
        <v>310</v>
      </c>
      <c r="F80" s="3">
        <f>170.7*F2</f>
        <v>177.69869999999997</v>
      </c>
      <c r="G80" s="3">
        <v>0</v>
      </c>
      <c r="H80" s="3">
        <v>0</v>
      </c>
      <c r="I80" s="10"/>
      <c r="J80" s="20" t="s">
        <v>224</v>
      </c>
      <c r="K80" s="9"/>
    </row>
    <row r="81" spans="1:11" s="73" customFormat="1" ht="70.5" hidden="1" customHeight="1" outlineLevel="1" x14ac:dyDescent="0.25">
      <c r="A81" s="7" t="s">
        <v>241</v>
      </c>
      <c r="B81" s="90" t="s">
        <v>136</v>
      </c>
      <c r="C81" s="1" t="s">
        <v>24</v>
      </c>
      <c r="D81" s="1">
        <v>244</v>
      </c>
      <c r="E81" s="1">
        <v>310</v>
      </c>
      <c r="F81" s="3">
        <f>47*F2</f>
        <v>48.927</v>
      </c>
      <c r="G81" s="3">
        <v>0</v>
      </c>
      <c r="H81" s="3">
        <v>0</v>
      </c>
      <c r="I81" s="10"/>
      <c r="J81" s="20" t="s">
        <v>283</v>
      </c>
      <c r="K81" s="9"/>
    </row>
    <row r="82" spans="1:11" s="73" customFormat="1" ht="90" hidden="1" customHeight="1" outlineLevel="1" x14ac:dyDescent="0.25">
      <c r="A82" s="7" t="s">
        <v>242</v>
      </c>
      <c r="B82" s="90" t="s">
        <v>137</v>
      </c>
      <c r="C82" s="1" t="s">
        <v>24</v>
      </c>
      <c r="D82" s="1">
        <v>244</v>
      </c>
      <c r="E82" s="1">
        <v>310</v>
      </c>
      <c r="F82" s="3">
        <f>99.2*F2</f>
        <v>103.2672</v>
      </c>
      <c r="G82" s="3">
        <v>0</v>
      </c>
      <c r="H82" s="3">
        <v>0</v>
      </c>
      <c r="I82" s="10"/>
      <c r="J82" s="20" t="s">
        <v>225</v>
      </c>
      <c r="K82" s="9"/>
    </row>
    <row r="83" spans="1:11" s="73" customFormat="1" ht="63.75" hidden="1" customHeight="1" outlineLevel="1" x14ac:dyDescent="0.25">
      <c r="A83" s="7" t="s">
        <v>243</v>
      </c>
      <c r="B83" s="90" t="s">
        <v>140</v>
      </c>
      <c r="C83" s="1" t="s">
        <v>24</v>
      </c>
      <c r="D83" s="1">
        <v>244</v>
      </c>
      <c r="E83" s="1">
        <v>310</v>
      </c>
      <c r="F83" s="3">
        <f>220*F2</f>
        <v>229.01999999999998</v>
      </c>
      <c r="G83" s="3">
        <v>0</v>
      </c>
      <c r="H83" s="3">
        <v>0</v>
      </c>
      <c r="I83" s="10"/>
      <c r="J83" s="20" t="s">
        <v>226</v>
      </c>
      <c r="K83" s="9"/>
    </row>
    <row r="84" spans="1:11" s="73" customFormat="1" ht="90.75" hidden="1" customHeight="1" outlineLevel="1" x14ac:dyDescent="0.25">
      <c r="A84" s="7" t="s">
        <v>244</v>
      </c>
      <c r="B84" s="90" t="s">
        <v>138</v>
      </c>
      <c r="C84" s="1" t="s">
        <v>24</v>
      </c>
      <c r="D84" s="1">
        <v>244</v>
      </c>
      <c r="E84" s="1">
        <v>310</v>
      </c>
      <c r="F84" s="3">
        <f>148.4*F2</f>
        <v>154.48439999999999</v>
      </c>
      <c r="G84" s="3">
        <v>0</v>
      </c>
      <c r="H84" s="3">
        <v>0</v>
      </c>
      <c r="I84" s="10"/>
      <c r="J84" s="20" t="s">
        <v>227</v>
      </c>
      <c r="K84" s="9"/>
    </row>
    <row r="85" spans="1:11" s="73" customFormat="1" ht="147" hidden="1" customHeight="1" outlineLevel="1" x14ac:dyDescent="0.25">
      <c r="A85" s="7" t="s">
        <v>245</v>
      </c>
      <c r="B85" s="90" t="s">
        <v>139</v>
      </c>
      <c r="C85" s="1" t="s">
        <v>24</v>
      </c>
      <c r="D85" s="1">
        <v>244</v>
      </c>
      <c r="E85" s="1">
        <v>310</v>
      </c>
      <c r="F85" s="3">
        <v>656.2</v>
      </c>
      <c r="G85" s="3">
        <v>0</v>
      </c>
      <c r="H85" s="3">
        <v>0</v>
      </c>
      <c r="I85" s="10"/>
      <c r="J85" s="20" t="s">
        <v>228</v>
      </c>
      <c r="K85" s="9"/>
    </row>
    <row r="86" spans="1:11" s="73" customFormat="1" ht="187.5" customHeight="1" collapsed="1" x14ac:dyDescent="0.25">
      <c r="A86" s="69" t="s">
        <v>246</v>
      </c>
      <c r="B86" s="70" t="s">
        <v>46</v>
      </c>
      <c r="C86" s="69"/>
      <c r="D86" s="71"/>
      <c r="E86" s="71" t="s">
        <v>76</v>
      </c>
      <c r="F86" s="72">
        <f>F87+F88+F89+F90+F91</f>
        <v>11163.697824791907</v>
      </c>
      <c r="G86" s="72">
        <f t="shared" ref="G86:H86" si="9">G87+G88+G89+G90+G91</f>
        <v>11751.583231157958</v>
      </c>
      <c r="H86" s="72">
        <f t="shared" si="9"/>
        <v>12250.749806866592</v>
      </c>
      <c r="I86" s="42" t="s">
        <v>310</v>
      </c>
      <c r="J86" s="68"/>
      <c r="K86" s="4"/>
    </row>
    <row r="87" spans="1:11" s="73" customFormat="1" ht="141.75" customHeight="1" x14ac:dyDescent="0.25">
      <c r="A87" s="7" t="s">
        <v>71</v>
      </c>
      <c r="B87" s="6" t="s">
        <v>41</v>
      </c>
      <c r="C87" s="1" t="s">
        <v>24</v>
      </c>
      <c r="D87" s="1">
        <v>244</v>
      </c>
      <c r="E87" s="1">
        <v>346</v>
      </c>
      <c r="F87" s="3">
        <f>51*10229/1000</f>
        <v>521.67899999999997</v>
      </c>
      <c r="G87" s="3">
        <v>746.9</v>
      </c>
      <c r="H87" s="3">
        <v>778.2</v>
      </c>
      <c r="I87" s="42" t="s">
        <v>49</v>
      </c>
      <c r="J87" s="20"/>
      <c r="K87" s="9" t="s">
        <v>340</v>
      </c>
    </row>
    <row r="88" spans="1:11" s="73" customFormat="1" ht="155.25" customHeight="1" x14ac:dyDescent="0.25">
      <c r="A88" s="7" t="s">
        <v>205</v>
      </c>
      <c r="B88" s="6" t="s">
        <v>42</v>
      </c>
      <c r="C88" s="1" t="s">
        <v>24</v>
      </c>
      <c r="D88" s="1">
        <v>244</v>
      </c>
      <c r="E88" s="1">
        <v>346</v>
      </c>
      <c r="F88" s="3">
        <f>1277*12*0.0145</f>
        <v>222.19800000000001</v>
      </c>
      <c r="G88" s="3">
        <f>1277*12*0.015</f>
        <v>229.85999999999999</v>
      </c>
      <c r="H88" s="3">
        <f>1277*12*0.016</f>
        <v>245.184</v>
      </c>
      <c r="I88" s="42" t="s">
        <v>43</v>
      </c>
      <c r="J88" s="20"/>
      <c r="K88" s="9" t="s">
        <v>77</v>
      </c>
    </row>
    <row r="89" spans="1:11" s="73" customFormat="1" ht="307.5" customHeight="1" x14ac:dyDescent="0.25">
      <c r="A89" s="7" t="s">
        <v>74</v>
      </c>
      <c r="B89" s="6" t="s">
        <v>44</v>
      </c>
      <c r="C89" s="1" t="s">
        <v>24</v>
      </c>
      <c r="D89" s="1">
        <v>244</v>
      </c>
      <c r="E89" s="1">
        <v>343</v>
      </c>
      <c r="F89" s="3">
        <f>6407.917465*F2+19*0.615*E2*F2</f>
        <v>6683.2890802394995</v>
      </c>
      <c r="G89" s="3">
        <f>F89*G2</f>
        <v>6970.6705106897971</v>
      </c>
      <c r="H89" s="3">
        <f>G89*H2</f>
        <v>7263.4386721387691</v>
      </c>
      <c r="I89" s="42" t="s">
        <v>322</v>
      </c>
      <c r="J89" s="20" t="s">
        <v>91</v>
      </c>
      <c r="K89" s="9"/>
    </row>
    <row r="90" spans="1:11" s="73" customFormat="1" ht="172.5" customHeight="1" x14ac:dyDescent="0.25">
      <c r="A90" s="7" t="s">
        <v>247</v>
      </c>
      <c r="B90" s="6" t="s">
        <v>67</v>
      </c>
      <c r="C90" s="1" t="s">
        <v>24</v>
      </c>
      <c r="D90" s="1">
        <v>244</v>
      </c>
      <c r="E90" s="1">
        <v>346</v>
      </c>
      <c r="F90" s="3">
        <f>3.3448*16*4*F2</f>
        <v>222.84395520000001</v>
      </c>
      <c r="G90" s="3">
        <f>F90*G2</f>
        <v>232.42624527359999</v>
      </c>
      <c r="H90" s="3">
        <f>G90*H2</f>
        <v>242.18814757509119</v>
      </c>
      <c r="I90" s="42" t="s">
        <v>333</v>
      </c>
      <c r="J90" s="20" t="s">
        <v>325</v>
      </c>
      <c r="K90" s="4"/>
    </row>
    <row r="91" spans="1:11" s="73" customFormat="1" ht="339.75" customHeight="1" x14ac:dyDescent="0.25">
      <c r="A91" s="7" t="s">
        <v>297</v>
      </c>
      <c r="B91" s="6" t="s">
        <v>298</v>
      </c>
      <c r="C91" s="1" t="s">
        <v>24</v>
      </c>
      <c r="D91" s="1">
        <v>244</v>
      </c>
      <c r="E91" s="1">
        <v>346</v>
      </c>
      <c r="F91" s="3">
        <f>SUM(F92:F101)</f>
        <v>3513.6877893524079</v>
      </c>
      <c r="G91" s="3">
        <f t="shared" ref="G91:H91" si="10">SUM(G92:G101)</f>
        <v>3571.7264751945609</v>
      </c>
      <c r="H91" s="3">
        <f t="shared" si="10"/>
        <v>3721.738987152733</v>
      </c>
      <c r="I91" s="10" t="s">
        <v>335</v>
      </c>
      <c r="J91" s="20"/>
      <c r="K91" s="4"/>
    </row>
    <row r="92" spans="1:11" s="73" customFormat="1" ht="159.75" hidden="1" customHeight="1" outlineLevel="1" x14ac:dyDescent="0.25">
      <c r="A92" s="7" t="s">
        <v>300</v>
      </c>
      <c r="B92" s="91" t="s">
        <v>121</v>
      </c>
      <c r="C92" s="1" t="s">
        <v>24</v>
      </c>
      <c r="D92" s="1">
        <v>244</v>
      </c>
      <c r="E92" s="1">
        <v>346</v>
      </c>
      <c r="F92" s="3">
        <f>(3952*0.27907+286*0.57233)*F2</f>
        <v>1318.5004318199999</v>
      </c>
      <c r="G92" s="3">
        <f>F92*G2</f>
        <v>1375.1959503882599</v>
      </c>
      <c r="H92" s="3">
        <f>G92*H2</f>
        <v>1432.954180304567</v>
      </c>
      <c r="I92" s="24"/>
      <c r="J92" s="20" t="s">
        <v>80</v>
      </c>
      <c r="K92" s="25"/>
    </row>
    <row r="93" spans="1:11" s="73" customFormat="1" ht="112.5" hidden="1" customHeight="1" outlineLevel="1" x14ac:dyDescent="0.25">
      <c r="A93" s="7" t="s">
        <v>301</v>
      </c>
      <c r="B93" s="6" t="s">
        <v>122</v>
      </c>
      <c r="C93" s="1" t="s">
        <v>24</v>
      </c>
      <c r="D93" s="1">
        <v>244</v>
      </c>
      <c r="E93" s="1">
        <v>346</v>
      </c>
      <c r="F93" s="3">
        <f>1456*0.014*F2</f>
        <v>21.219743999999999</v>
      </c>
      <c r="G93" s="3">
        <f>F93*G2</f>
        <v>22.132192991999997</v>
      </c>
      <c r="H93" s="3">
        <f>G93*H2</f>
        <v>23.061745097663998</v>
      </c>
      <c r="I93" s="24"/>
      <c r="J93" s="20" t="s">
        <v>296</v>
      </c>
      <c r="K93" s="25"/>
    </row>
    <row r="94" spans="1:11" s="73" customFormat="1" ht="110.25" hidden="1" customHeight="1" outlineLevel="1" x14ac:dyDescent="0.25">
      <c r="A94" s="7" t="s">
        <v>302</v>
      </c>
      <c r="B94" s="6" t="s">
        <v>123</v>
      </c>
      <c r="C94" s="1" t="s">
        <v>24</v>
      </c>
      <c r="D94" s="1">
        <v>244</v>
      </c>
      <c r="E94" s="1">
        <v>346</v>
      </c>
      <c r="F94" s="3">
        <v>429.4</v>
      </c>
      <c r="G94" s="3">
        <f>F94*G2</f>
        <v>447.86419999999993</v>
      </c>
      <c r="H94" s="3">
        <f>G94*H2</f>
        <v>466.67449639999995</v>
      </c>
      <c r="I94" s="24"/>
      <c r="J94" s="20" t="s">
        <v>81</v>
      </c>
      <c r="K94" s="25"/>
    </row>
    <row r="95" spans="1:11" s="73" customFormat="1" ht="109.5" hidden="1" customHeight="1" outlineLevel="1" x14ac:dyDescent="0.25">
      <c r="A95" s="7" t="s">
        <v>303</v>
      </c>
      <c r="B95" s="6" t="s">
        <v>124</v>
      </c>
      <c r="C95" s="1" t="s">
        <v>24</v>
      </c>
      <c r="D95" s="1">
        <v>244</v>
      </c>
      <c r="E95" s="1">
        <v>346</v>
      </c>
      <c r="F95" s="3">
        <f>234*0.185*F2</f>
        <v>45.064889999999998</v>
      </c>
      <c r="G95" s="3">
        <f>F95*G2</f>
        <v>47.002680269999992</v>
      </c>
      <c r="H95" s="3">
        <f>G95*H2</f>
        <v>48.976792841339993</v>
      </c>
      <c r="I95" s="24"/>
      <c r="J95" s="20" t="s">
        <v>264</v>
      </c>
      <c r="K95" s="25"/>
    </row>
    <row r="96" spans="1:11" s="73" customFormat="1" ht="98.25" hidden="1" customHeight="1" outlineLevel="1" x14ac:dyDescent="0.25">
      <c r="A96" s="7" t="s">
        <v>304</v>
      </c>
      <c r="B96" s="6" t="s">
        <v>125</v>
      </c>
      <c r="C96" s="1" t="s">
        <v>24</v>
      </c>
      <c r="D96" s="1">
        <v>244</v>
      </c>
      <c r="E96" s="1">
        <v>346</v>
      </c>
      <c r="F96" s="3">
        <f>15.2*F2</f>
        <v>15.823199999999998</v>
      </c>
      <c r="G96" s="3">
        <f>F96*G2</f>
        <v>16.503597599999996</v>
      </c>
      <c r="H96" s="3">
        <f>G96*H2</f>
        <v>17.196748699199997</v>
      </c>
      <c r="I96" s="24"/>
      <c r="J96" s="20" t="s">
        <v>79</v>
      </c>
      <c r="K96" s="25"/>
    </row>
    <row r="97" spans="1:11" s="73" customFormat="1" ht="78" hidden="1" customHeight="1" outlineLevel="1" x14ac:dyDescent="0.25">
      <c r="A97" s="7" t="s">
        <v>305</v>
      </c>
      <c r="B97" s="6" t="s">
        <v>126</v>
      </c>
      <c r="C97" s="1" t="s">
        <v>24</v>
      </c>
      <c r="D97" s="1">
        <v>244</v>
      </c>
      <c r="E97" s="1">
        <v>346</v>
      </c>
      <c r="F97" s="3">
        <f>85.7*F2</f>
        <v>89.213700000000003</v>
      </c>
      <c r="G97" s="3">
        <v>0</v>
      </c>
      <c r="H97" s="3">
        <v>0</v>
      </c>
      <c r="I97" s="24"/>
      <c r="J97" s="20" t="s">
        <v>83</v>
      </c>
      <c r="K97" s="25"/>
    </row>
    <row r="98" spans="1:11" s="73" customFormat="1" ht="129" hidden="1" customHeight="1" outlineLevel="1" x14ac:dyDescent="0.25">
      <c r="A98" s="7" t="s">
        <v>306</v>
      </c>
      <c r="B98" s="91" t="s">
        <v>127</v>
      </c>
      <c r="C98" s="1" t="s">
        <v>24</v>
      </c>
      <c r="D98" s="1">
        <v>244</v>
      </c>
      <c r="E98" s="26">
        <v>346</v>
      </c>
      <c r="F98" s="3">
        <f>555.54301*F2</f>
        <v>578.32027340999991</v>
      </c>
      <c r="G98" s="3">
        <f>F98*G2</f>
        <v>603.18804516662988</v>
      </c>
      <c r="H98" s="3">
        <f>G98*H2</f>
        <v>628.52194306362833</v>
      </c>
      <c r="I98" s="24"/>
      <c r="J98" s="20" t="s">
        <v>84</v>
      </c>
      <c r="K98" s="25"/>
    </row>
    <row r="99" spans="1:11" s="73" customFormat="1" ht="90" hidden="1" customHeight="1" outlineLevel="1" x14ac:dyDescent="0.25">
      <c r="A99" s="7" t="s">
        <v>307</v>
      </c>
      <c r="B99" s="91" t="s">
        <v>128</v>
      </c>
      <c r="C99" s="1" t="s">
        <v>24</v>
      </c>
      <c r="D99" s="1">
        <v>244</v>
      </c>
      <c r="E99" s="26">
        <v>346</v>
      </c>
      <c r="F99" s="3">
        <f>521.1</f>
        <v>521.1</v>
      </c>
      <c r="G99" s="3">
        <f>F99*G2</f>
        <v>543.50729999999999</v>
      </c>
      <c r="H99" s="3">
        <f>G99*H2</f>
        <v>566.33460660000003</v>
      </c>
      <c r="I99" s="24"/>
      <c r="J99" s="20" t="s">
        <v>265</v>
      </c>
      <c r="K99" s="25"/>
    </row>
    <row r="100" spans="1:11" s="73" customFormat="1" ht="78" hidden="1" customHeight="1" outlineLevel="1" x14ac:dyDescent="0.25">
      <c r="A100" s="7" t="s">
        <v>308</v>
      </c>
      <c r="B100" s="91" t="s">
        <v>129</v>
      </c>
      <c r="C100" s="1" t="s">
        <v>24</v>
      </c>
      <c r="D100" s="1">
        <v>244</v>
      </c>
      <c r="E100" s="26">
        <v>346</v>
      </c>
      <c r="F100" s="3">
        <f>124.40904*E2*F2</f>
        <v>134.65135012240799</v>
      </c>
      <c r="G100" s="3">
        <f>F100*G2</f>
        <v>140.44135817767153</v>
      </c>
      <c r="H100" s="3">
        <f>G100*H2</f>
        <v>146.33989522113373</v>
      </c>
      <c r="I100" s="24"/>
      <c r="J100" s="20" t="s">
        <v>266</v>
      </c>
      <c r="K100" s="25"/>
    </row>
    <row r="101" spans="1:11" s="73" customFormat="1" ht="79.5" hidden="1" customHeight="1" outlineLevel="1" x14ac:dyDescent="0.25">
      <c r="A101" s="7" t="s">
        <v>309</v>
      </c>
      <c r="B101" s="6" t="s">
        <v>130</v>
      </c>
      <c r="C101" s="1">
        <v>1510096170</v>
      </c>
      <c r="D101" s="1">
        <v>242</v>
      </c>
      <c r="E101" s="1">
        <v>346</v>
      </c>
      <c r="F101" s="3">
        <f>346.2*F2</f>
        <v>360.39419999999996</v>
      </c>
      <c r="G101" s="3">
        <f>F101*G2</f>
        <v>375.89115059999995</v>
      </c>
      <c r="H101" s="3">
        <f>G101*H2</f>
        <v>391.67857892519999</v>
      </c>
      <c r="I101" s="24"/>
      <c r="J101" s="20" t="s">
        <v>267</v>
      </c>
      <c r="K101" s="25"/>
    </row>
    <row r="102" spans="1:11" s="73" customFormat="1" ht="219.75" customHeight="1" collapsed="1" x14ac:dyDescent="0.25">
      <c r="A102" s="69" t="s">
        <v>75</v>
      </c>
      <c r="B102" s="70" t="s">
        <v>47</v>
      </c>
      <c r="C102" s="69"/>
      <c r="D102" s="71"/>
      <c r="E102" s="71"/>
      <c r="F102" s="72">
        <f>SUM(F103:F106)</f>
        <v>2291.8240999999998</v>
      </c>
      <c r="G102" s="72">
        <f>SUM(G103:G106)</f>
        <v>178.31649499999997</v>
      </c>
      <c r="H102" s="72">
        <f>SUM(H103:H106)</f>
        <v>185.80578778999998</v>
      </c>
      <c r="I102" s="10" t="s">
        <v>334</v>
      </c>
      <c r="J102" s="92"/>
      <c r="K102" s="4"/>
    </row>
    <row r="103" spans="1:11" s="17" customFormat="1" ht="72" hidden="1" customHeight="1" outlineLevel="1" x14ac:dyDescent="0.25">
      <c r="A103" s="7" t="s">
        <v>95</v>
      </c>
      <c r="B103" s="6" t="s">
        <v>113</v>
      </c>
      <c r="C103" s="1" t="s">
        <v>24</v>
      </c>
      <c r="D103" s="1">
        <v>244</v>
      </c>
      <c r="E103" s="1">
        <v>226</v>
      </c>
      <c r="F103" s="3">
        <f>1455.1*F2</f>
        <v>1514.7590999999998</v>
      </c>
      <c r="G103" s="3">
        <v>0</v>
      </c>
      <c r="H103" s="3">
        <v>0</v>
      </c>
      <c r="I103" s="5"/>
      <c r="J103" s="20" t="s">
        <v>255</v>
      </c>
      <c r="K103" s="4"/>
    </row>
    <row r="104" spans="1:11" s="73" customFormat="1" ht="253.5" hidden="1" customHeight="1" outlineLevel="1" x14ac:dyDescent="0.25">
      <c r="A104" s="7" t="s">
        <v>220</v>
      </c>
      <c r="B104" s="6" t="s">
        <v>145</v>
      </c>
      <c r="C104" s="1" t="s">
        <v>24</v>
      </c>
      <c r="D104" s="1">
        <v>244</v>
      </c>
      <c r="E104" s="1">
        <v>226</v>
      </c>
      <c r="F104" s="3">
        <f>83.1+14.2+13.2+45.5+244+30.4</f>
        <v>430.4</v>
      </c>
      <c r="G104" s="3">
        <f>(14.2+13.2+45.5+30.4)*G2</f>
        <v>107.7419</v>
      </c>
      <c r="H104" s="3">
        <f>G104*H2</f>
        <v>112.2670598</v>
      </c>
      <c r="I104" s="24"/>
      <c r="J104" s="20" t="s">
        <v>261</v>
      </c>
      <c r="K104" s="25"/>
    </row>
    <row r="105" spans="1:11" s="73" customFormat="1" ht="79.5" hidden="1" customHeight="1" outlineLevel="1" x14ac:dyDescent="0.25">
      <c r="A105" s="7" t="s">
        <v>221</v>
      </c>
      <c r="B105" s="6" t="s">
        <v>119</v>
      </c>
      <c r="C105" s="1" t="s">
        <v>24</v>
      </c>
      <c r="D105" s="1">
        <v>244</v>
      </c>
      <c r="E105" s="1">
        <v>226</v>
      </c>
      <c r="F105" s="3">
        <f>65*F2</f>
        <v>67.664999999999992</v>
      </c>
      <c r="G105" s="3">
        <f>F105*G2</f>
        <v>70.574594999999988</v>
      </c>
      <c r="H105" s="3">
        <f>G105*H2</f>
        <v>73.538727989999984</v>
      </c>
      <c r="I105" s="24"/>
      <c r="J105" s="20" t="s">
        <v>262</v>
      </c>
      <c r="K105" s="25"/>
    </row>
    <row r="106" spans="1:11" s="73" customFormat="1" ht="61.5" hidden="1" customHeight="1" outlineLevel="1" x14ac:dyDescent="0.25">
      <c r="A106" s="7" t="s">
        <v>248</v>
      </c>
      <c r="B106" s="6" t="s">
        <v>120</v>
      </c>
      <c r="C106" s="1" t="s">
        <v>24</v>
      </c>
      <c r="D106" s="1">
        <v>244</v>
      </c>
      <c r="E106" s="1">
        <v>226</v>
      </c>
      <c r="F106" s="3">
        <v>279</v>
      </c>
      <c r="G106" s="3">
        <v>0</v>
      </c>
      <c r="H106" s="3">
        <v>0</v>
      </c>
      <c r="I106" s="24"/>
      <c r="J106" s="20" t="s">
        <v>263</v>
      </c>
      <c r="K106" s="25"/>
    </row>
    <row r="107" spans="1:11" collapsed="1" x14ac:dyDescent="0.25"/>
    <row r="112" spans="1:11" ht="24" customHeight="1" x14ac:dyDescent="0.25"/>
    <row r="113" spans="1:11" ht="45" customHeight="1" x14ac:dyDescent="0.25">
      <c r="A113" s="93"/>
      <c r="B113" s="29" t="s">
        <v>142</v>
      </c>
      <c r="C113" s="94"/>
      <c r="D113" s="94"/>
      <c r="E113" s="94"/>
      <c r="F113" s="94"/>
      <c r="G113" s="94"/>
      <c r="H113" s="94"/>
      <c r="I113" s="94"/>
      <c r="J113" s="95"/>
      <c r="K113" s="94" t="s">
        <v>143</v>
      </c>
    </row>
  </sheetData>
  <mergeCells count="13">
    <mergeCell ref="I8:I9"/>
    <mergeCell ref="J8:J9"/>
    <mergeCell ref="K8:K9"/>
    <mergeCell ref="I20:I25"/>
    <mergeCell ref="F3:H3"/>
    <mergeCell ref="A4:H4"/>
    <mergeCell ref="A8:A9"/>
    <mergeCell ref="B8:B9"/>
    <mergeCell ref="C8:C9"/>
    <mergeCell ref="D8:D9"/>
    <mergeCell ref="E8:E9"/>
    <mergeCell ref="F8:H8"/>
    <mergeCell ref="A6:I6"/>
  </mergeCells>
  <pageMargins left="0.7" right="0.7" top="0.75" bottom="0.75" header="0.3" footer="0.3"/>
  <pageSetup paperSize="9" scale="40" fitToHeight="0" orientation="portrait" r:id="rId1"/>
  <rowBreaks count="1" manualBreakCount="1">
    <brk id="19" max="10"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2021-2023 рабочий</vt:lpstr>
      <vt:lpstr>'2021-2023 рабочий'!Область_печати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Комарова Татьяна Ивановна</dc:creator>
  <cp:lastModifiedBy>Толстенева Наталья Сергеевна</cp:lastModifiedBy>
  <cp:lastPrinted>2020-06-16T07:27:01Z</cp:lastPrinted>
  <dcterms:created xsi:type="dcterms:W3CDTF">2019-06-14T07:18:48Z</dcterms:created>
  <dcterms:modified xsi:type="dcterms:W3CDTF">2020-06-16T10:46:14Z</dcterms:modified>
</cp:coreProperties>
</file>