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230"/>
  </bookViews>
  <sheets>
    <sheet name="Норматив с целевыми статьями" sheetId="3" r:id="rId1"/>
  </sheets>
  <definedNames>
    <definedName name="_xlnm._FilterDatabase" localSheetId="0" hidden="1">'Норматив с целевыми статьями'!$A$8:$K$66</definedName>
    <definedName name="_xlnm.Print_Area" localSheetId="0">'Норматив с целевыми статьями'!$A$2:$F$62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D15" i="3"/>
  <c r="C15" i="3"/>
  <c r="E52" i="3" l="1"/>
  <c r="D52" i="3"/>
  <c r="C52" i="3"/>
  <c r="C19" i="3" l="1"/>
  <c r="D19" i="3" s="1"/>
  <c r="E19" i="3" s="1"/>
  <c r="E23" i="3" l="1"/>
  <c r="D23" i="3"/>
  <c r="C38" i="3" l="1"/>
  <c r="C11" i="3" l="1"/>
  <c r="D11" i="3" s="1"/>
  <c r="E11" i="3" s="1"/>
  <c r="E10" i="3" s="1"/>
  <c r="C14" i="3" l="1"/>
  <c r="C48" i="3" l="1"/>
  <c r="C61" i="3"/>
  <c r="D61" i="3" s="1"/>
  <c r="E61" i="3" s="1"/>
  <c r="C49" i="3"/>
  <c r="C50" i="3"/>
  <c r="C60" i="3" l="1"/>
  <c r="D60" i="3" s="1"/>
  <c r="C62" i="3"/>
  <c r="D62" i="3" s="1"/>
  <c r="E62" i="3" s="1"/>
  <c r="C57" i="3"/>
  <c r="D59" i="3"/>
  <c r="C59" i="3"/>
  <c r="E58" i="3"/>
  <c r="D58" i="3"/>
  <c r="C58" i="3"/>
  <c r="C55" i="3"/>
  <c r="C54" i="3"/>
  <c r="E53" i="3"/>
  <c r="D53" i="3"/>
  <c r="C53" i="3"/>
  <c r="D50" i="3"/>
  <c r="E50" i="3" s="1"/>
  <c r="C46" i="3"/>
  <c r="C56" i="3" l="1"/>
  <c r="C51" i="3"/>
  <c r="C37" i="3"/>
  <c r="C34" i="3"/>
  <c r="C30" i="3"/>
  <c r="C33" i="3"/>
  <c r="C31" i="3"/>
  <c r="C32" i="3"/>
  <c r="C45" i="3" l="1"/>
  <c r="C47" i="3"/>
  <c r="E44" i="3" l="1"/>
  <c r="D44" i="3"/>
  <c r="C44" i="3"/>
  <c r="C43" i="3"/>
  <c r="D43" i="3" s="1"/>
  <c r="E43" i="3" s="1"/>
  <c r="E41" i="3"/>
  <c r="D41" i="3"/>
  <c r="C41" i="3"/>
  <c r="C42" i="3"/>
  <c r="C36" i="3"/>
  <c r="E35" i="3"/>
  <c r="D35" i="3"/>
  <c r="C35" i="3"/>
  <c r="C28" i="3"/>
  <c r="D31" i="3"/>
  <c r="E31" i="3" s="1"/>
  <c r="C29" i="3"/>
  <c r="C27" i="3"/>
  <c r="D27" i="3" s="1"/>
  <c r="E24" i="3" l="1"/>
  <c r="C25" i="3" l="1"/>
  <c r="D25" i="3" s="1"/>
  <c r="E25" i="3" s="1"/>
  <c r="D14" i="3"/>
  <c r="D24" i="3"/>
  <c r="C24" i="3"/>
  <c r="C23" i="3"/>
  <c r="E22" i="3"/>
  <c r="D22" i="3"/>
  <c r="C22" i="3"/>
  <c r="D18" i="3"/>
  <c r="E18" i="3" s="1"/>
  <c r="C12" i="3"/>
  <c r="C21" i="3" l="1"/>
  <c r="E54" i="3"/>
  <c r="D30" i="3"/>
  <c r="E30" i="3" s="1"/>
  <c r="E60" i="3"/>
  <c r="E59" i="3"/>
  <c r="D48" i="3"/>
  <c r="E48" i="3" s="1"/>
  <c r="D47" i="3"/>
  <c r="E47" i="3" s="1"/>
  <c r="D45" i="3"/>
  <c r="E45" i="3" s="1"/>
  <c r="C40" i="3"/>
  <c r="C39" i="3" s="1"/>
  <c r="D37" i="3"/>
  <c r="E37" i="3" s="1"/>
  <c r="D36" i="3"/>
  <c r="E36" i="3" s="1"/>
  <c r="D34" i="3"/>
  <c r="E34" i="3" s="1"/>
  <c r="D29" i="3"/>
  <c r="E29" i="3" s="1"/>
  <c r="D28" i="3"/>
  <c r="E28" i="3" s="1"/>
  <c r="E17" i="3"/>
  <c r="D17" i="3"/>
  <c r="C17" i="3"/>
  <c r="C10" i="3"/>
  <c r="C9" i="3" s="1"/>
  <c r="E40" i="3" l="1"/>
  <c r="D40" i="3"/>
  <c r="D54" i="3"/>
  <c r="D12" i="3"/>
  <c r="D32" i="3"/>
  <c r="E32" i="3" s="1"/>
  <c r="D55" i="3"/>
  <c r="E55" i="3" s="1"/>
  <c r="D46" i="3"/>
  <c r="E46" i="3" s="1"/>
  <c r="E14" i="3"/>
  <c r="E12" i="3" s="1"/>
  <c r="D57" i="3"/>
  <c r="D56" i="3" s="1"/>
  <c r="D38" i="3"/>
  <c r="E38" i="3" s="1"/>
  <c r="D49" i="3"/>
  <c r="D42" i="3"/>
  <c r="E42" i="3" s="1"/>
  <c r="E21" i="3"/>
  <c r="D33" i="3"/>
  <c r="E33" i="3" s="1"/>
  <c r="D51" i="3" l="1"/>
  <c r="E49" i="3"/>
  <c r="E39" i="3" s="1"/>
  <c r="D39" i="3"/>
  <c r="D10" i="3"/>
  <c r="D9" i="3" s="1"/>
  <c r="E9" i="3"/>
  <c r="E57" i="3"/>
  <c r="E56" i="3" s="1"/>
  <c r="E51" i="3"/>
  <c r="C26" i="3"/>
  <c r="D21" i="3"/>
  <c r="C16" i="3" l="1"/>
  <c r="E27" i="3"/>
  <c r="E26" i="3" s="1"/>
  <c r="E16" i="3" s="1"/>
  <c r="E1" i="3" s="1"/>
  <c r="D26" i="3"/>
  <c r="D16" i="3" s="1"/>
  <c r="D1" i="3" s="1"/>
  <c r="C1" i="3" l="1"/>
  <c r="C63" i="3"/>
  <c r="E63" i="3"/>
  <c r="D63" i="3"/>
</calcChain>
</file>

<file path=xl/sharedStrings.xml><?xml version="1.0" encoding="utf-8"?>
<sst xmlns="http://schemas.openxmlformats.org/spreadsheetml/2006/main" count="218" uniqueCount="216">
  <si>
    <t>Вид (группа, подгруппа) затрат</t>
  </si>
  <si>
    <t>Порядок расчета нормативных затрат</t>
  </si>
  <si>
    <t>Затраты на информационно-коммуникационные технологии</t>
  </si>
  <si>
    <t>Затраты на услуги связи</t>
  </si>
  <si>
    <t>Затраты на содержание имущества</t>
  </si>
  <si>
    <t>Затраты на приобретение прочих работ и услуг, не относящихся к затратам на услуги связи, аренду и содержание имущества</t>
  </si>
  <si>
    <t>Расчет нормативных затрат на приобретение прочих работ и услуг, не относящихся к затратам на услуги связи, аренду и содержание имущества, осуществляется исходя из следующей подгруппы затрат: затраты на оплату услуг по сопровождению программного обеспечения.</t>
  </si>
  <si>
    <t>Затраты на приобретение материальных запасов в сфере информационно-коммуникационных технологий</t>
  </si>
  <si>
    <t>Затраты на приобретение других запасных частей для вычислительной техники</t>
  </si>
  <si>
    <t>Затраты на приобретение магнитных и оптических носителей информации (внешние накопители)</t>
  </si>
  <si>
    <t>Затраты на оплату услуг почтовой связи</t>
  </si>
  <si>
    <t>Затраты на оплату услуги фельдъегерской связи</t>
  </si>
  <si>
    <t>Затраты на коммунальные услуги</t>
  </si>
  <si>
    <t>Затраты на аренду помещений, автотранспортных средств и оборудования</t>
  </si>
  <si>
    <t>Затраты на аренду помещений</t>
  </si>
  <si>
    <t>Расчет нормативных затрат на аренду земельного участка осуществляется на основании распоряжения Комитета имущественных отношений, с учетом повышающих коэффициентов на плановый период, предоставляемых Комитетом финансов Санкт-Петербурга.</t>
  </si>
  <si>
    <t>Затраты на техническое обслуживание и ремонт комплексов средств охраны (пожарная, охранная сигнализации, система видеонаблюдения, тревожная кнопка)</t>
  </si>
  <si>
    <t>Затраты на техническое обслуживание индивидуального теплового пункта:</t>
  </si>
  <si>
    <t>Затраты на дератизацию и дезинсекцию</t>
  </si>
  <si>
    <t>Затраты на техническое обслуживание и регламентно-профилактический ремонт лифтов</t>
  </si>
  <si>
    <t>Затраты на текущий ремонт помещений, зданий и прилегающей территории</t>
  </si>
  <si>
    <t xml:space="preserve">Затраты на обслуживание грязезащитных ковров </t>
  </si>
  <si>
    <t>Затраты на мытье окон</t>
  </si>
  <si>
    <t>Затраты на техническое обслуживание кондиционеров</t>
  </si>
  <si>
    <t xml:space="preserve">Затраты на техническое обслуживание и ремонт АТС </t>
  </si>
  <si>
    <t>Затраты на содержание общедолевого имущества</t>
  </si>
  <si>
    <t>Затраты на вывоз и размещение твердых бытовых отходов</t>
  </si>
  <si>
    <t>Прочие затраты на работы и услуги по содержанию имущества</t>
  </si>
  <si>
    <t>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</t>
  </si>
  <si>
    <t>Затраты на оплату типографских работ и услуг, включая приобретение периодических печатных изданий</t>
  </si>
  <si>
    <t>2.5.1.1</t>
  </si>
  <si>
    <t>Затраты на приобретение периодических печатных изданий</t>
  </si>
  <si>
    <t>2.5.1.2</t>
  </si>
  <si>
    <t xml:space="preserve">Затраты на оплату типографических работ и услуг </t>
  </si>
  <si>
    <t>Затраты на оплату услуг лиц, привлекаемых на основании гражданско-правовых договоров (внештатных сотрудников)</t>
  </si>
  <si>
    <t>Затраты на проведение диспансеризации работников</t>
  </si>
  <si>
    <t>Затраты на оплату услуг вневедомственной охраны</t>
  </si>
  <si>
    <t>Затраты по архивной обработке и уничтожению документов</t>
  </si>
  <si>
    <t>Затраты на участие в семинарах и консультационно-информационные услуги</t>
  </si>
  <si>
    <t>Затраты на утилизацию пришедшего в негодность имущества</t>
  </si>
  <si>
    <t>Затраты на прочие работы и услуги</t>
  </si>
  <si>
    <t>Затраты на приобретение основных средств</t>
  </si>
  <si>
    <t>Затраты на приобретение мебели</t>
  </si>
  <si>
    <t>Затраты на приобретение систем кондиционирования</t>
  </si>
  <si>
    <t xml:space="preserve">Затраты на приобретение бытовой техники </t>
  </si>
  <si>
    <t xml:space="preserve">Затраты на приобретение иных основных средств (в том числе специальное лабораторное оборудование и лабораторная мебель, автотранспортные средства, в том числе специального назначения, стационарные и мобильные телефоны) </t>
  </si>
  <si>
    <t>Затраты на приобретение канцелярских принадлежностей</t>
  </si>
  <si>
    <t>Затраты на приобретение хозяйственных товаров и принадлежностей</t>
  </si>
  <si>
    <t>Затраты на приобретения иных материальных запасов</t>
  </si>
  <si>
    <t>Затраты на приобретение офисной бумаги (формата А4 и А3)</t>
  </si>
  <si>
    <t>1.1.1</t>
  </si>
  <si>
    <t>1.2</t>
  </si>
  <si>
    <t>1.2.1</t>
  </si>
  <si>
    <t>1.4.1</t>
  </si>
  <si>
    <t>2</t>
  </si>
  <si>
    <t>2.1</t>
  </si>
  <si>
    <t>2.1.1</t>
  </si>
  <si>
    <t>2.1.2</t>
  </si>
  <si>
    <t>2.2</t>
  </si>
  <si>
    <t>2.3</t>
  </si>
  <si>
    <t>2.3.1</t>
  </si>
  <si>
    <t>2.3.2</t>
  </si>
  <si>
    <t>2.3.3</t>
  </si>
  <si>
    <t>2.4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</si>
  <si>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</si>
  <si>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</si>
  <si>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</si>
  <si>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</si>
  <si>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</si>
  <si>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</si>
  <si>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</si>
  <si>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</si>
  <si>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</si>
  <si>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</si>
  <si>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</si>
  <si>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</si>
  <si>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2.5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</si>
  <si>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</si>
  <si>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</si>
  <si>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</si>
  <si>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</si>
  <si>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</si>
  <si>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</si>
  <si>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</si>
  <si>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</si>
  <si>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</si>
  <si>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2.6</t>
  </si>
  <si>
    <t>2.6.1</t>
  </si>
  <si>
    <t>2.6.2</t>
  </si>
  <si>
    <t>2.6.3</t>
  </si>
  <si>
    <t>2.6.4</t>
  </si>
  <si>
    <t>2.7</t>
  </si>
  <si>
    <t>2.7.1</t>
  </si>
  <si>
    <t>2.7.2</t>
  </si>
  <si>
    <t>2.7.3</t>
  </si>
  <si>
    <t>2.7.4</t>
  </si>
  <si>
    <t>2.7.5</t>
  </si>
  <si>
    <t>№ пп</t>
  </si>
  <si>
    <t>Прочие затраты (в том числе затраты на закупку товаров, работ и услуг в целях оказания государственных услуг (выполнения работ) и реализации государственных функций), не указанные в подпунктах «а» - «ж» пункта 6 Общих правил</t>
  </si>
  <si>
    <t>Затраты на приобретение материальных запасов, не отнесенные к затратам, указанным в подпунктах «а» - «ж» пункта 6 Общих правил</t>
  </si>
  <si>
    <t xml:space="preserve">Расчет нормативных затрат на услуги связи осуществляется исходя из следующих подгрупп затрат:
затраты на оплату услуг почтовой связи;
затраты на оплату услуг фельдъегерской связи.
</t>
  </si>
  <si>
    <t xml:space="preserve">Расчет нормативных затрат на аренду помещений, автотранспортных средств и оборудования осуществляется исходя из следующих подгрупп затрат:
затраты на аренду помещений;
затраты на аренду автотранспортных средств;
затраты на аренду земельного участка.
</t>
  </si>
  <si>
    <t xml:space="preserve">Расчет нормативных затрат на аренду помещений осуществляется по формуле1:
НЗар = Пар x Нц ар x Мар, где: 
НЗар - нормативные затраты на аренду помещений;
Пар - площадь арендуемых помещений;
Нц ар - норматив цены аренды одного кв. м помещений в расчете на один месяц аренды;
Мар - количество месяцев аренды.
</t>
  </si>
  <si>
    <t xml:space="preserve">Расчет нормативных затрат на содержание имущества осуществляется исходя из следующих подгрупп затрат:
затраты на техническое обслуживание и ремонт комплексов средств охраны (пожарная, охранная сигнализации, система видеонаблюдения, тревожная кнопка);
затраты на техническое обслуживание индивидуального теплового пункта;
затраты на дератизацию и дезинсекцию;
затраты на техническое обслуживание и регламентно-профилактический ремонт лифтов;
затраты на текущий ремонт помещений;
затраты на обслуживание грязезащитных ковров; 
затраты на мытье окон;
затраты на техническое обслуживание кондиционеров;
затраты на техническое обслуживание и ремонт АТС;
затраты на содержание общедолевого имущества; 
затраты на вывоз и размещение твердых бытовых отходов;
прочие затраты на работы и услуги по содержанию имущества.
</t>
  </si>
  <si>
    <t>Расчет нормативных затрат на проведение текущего ремонта   осуществляется с учетом требований Положения об организации и проведении реконструкции, ремонта и технического обслуживания зданий, объектов коммунального и социально-культурного назначения ВСН 58-88(р), утвержденного приказом Госкомархитектуры от 23.11.1998 № 312 и в соответствии с положениями пункта 4 части 1 статьи 22 Закона 44-ФЗ, рассчитываемые на очередной финансовый год и на плановый период.</t>
  </si>
  <si>
    <t xml:space="preserve">Расчет нормативных затрат на приобретение основных средств осуществляется исходя из следующих подгрупп затрат:
затраты на приобретение мебели;
затраты на приобретение систем кондиционирования;
затраты на приобретение бытовой техники;
затраты на приобретение иных основных средств.
</t>
  </si>
  <si>
    <t xml:space="preserve">Расчет нормативных затрат на приобретение бланочной продукции осуществляется по формуле:
НЗблн = Qблн х Pблн + Qппт х Pппт, где:
НЗблн - нормативные затраты на приобретение бланочной продукции;
Qблн - планируемое к приобретению количество бланочной продукции;
Pблн - цена 1 бланка, определяемая в соответствии с положениями статьи 22 Закона 44-ФЗ и рассчитываемая  на очередной финансовый год и на плановый период;
Qппт - планируемое к приобретению количество прочей продукции, изготовляемой типографией;
Pппт - цена 1 единицы прочей продукции, изготовляемой типографией, определяемая в соответствии с положениями статьи 22 Закона 44-ФЗ и рассчитываемая  на очередной финансовый год и на плановый период.
</t>
  </si>
  <si>
    <t xml:space="preserve">Затраты на приобретение бланочной продукции (календари, грамоты,
благодарности)
</t>
  </si>
  <si>
    <t xml:space="preserve">Расчет нормативных затрат на приобретение канцелярских принадлежностей осуществляется по формуле1:
НЗканц = Чр x Нц канц,
где: НЗканц - нормативные затраты на приобретение канцелярских принадлежностей;
Чр - расчетная численность работников;
Нц канц - норматив цены набора канцелярских принадлежностей для одного работника.
</t>
  </si>
  <si>
    <t xml:space="preserve">Расчет нормативных затрат на приобретение хозяйственных товаров и принадлежностей осуществляется по формуле1:
НЗхоз = Ппом x Нц хоз x Мхоз,
где: НЗхоз - нормативные затраты на приобретение хозяйственных товаров и принадлежностей;
Ппом - площадь обслуживаемых помещений;
Нц хоз - норматив цены набора хозяйственных товаров и принадлежностей в расчете на один кв. м обслуживаемых помещений за один месяц обслуживания;
Мхоз - количество месяцев обслуживания помещений
</t>
  </si>
  <si>
    <t>1.1</t>
  </si>
  <si>
    <t>в соответствии с Постановлением Правительства Санкт-Петербурга от 28.04.2016 № 327 «О Правилах определения нормативных затрат на обеспечение функций государственных органов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Санкт-Петербурга»</t>
  </si>
  <si>
    <t>тыс.руб.</t>
  </si>
  <si>
    <t>Затраты на аренду автотранспортных средств с экипажем ( оказание транспортных услуг)</t>
  </si>
  <si>
    <t xml:space="preserve">Затраты на аренду земельного участка </t>
  </si>
  <si>
    <t>1.2.2</t>
  </si>
  <si>
    <t>Затраты на оплату услуг по сопровождению программного обеспечения (1С, сметные программы, неисключительные права на ПО)</t>
  </si>
  <si>
    <t>Индекс на 2021</t>
  </si>
  <si>
    <t>Индекс на 2022</t>
  </si>
  <si>
    <t>Индекс на 2023</t>
  </si>
  <si>
    <t>Затраты на аренду автотранспортных средств (без экипажа)</t>
  </si>
  <si>
    <t>2.3.4</t>
  </si>
  <si>
    <t>Аренда автотранспортных средств без экипажа
2021 год:= 3 ед  * 5501 руб/день* 60 раб дн.
2022 год:=  3 ед  * 5738 руб/день* 60 раб дн.
2023 год:=  3 ед  * 5979 руб/день*60 раб дн.</t>
  </si>
  <si>
    <t>приобретение периодических печатных изданий
2021 год:=168 руб/мес*278 чел* 12 мес
2022 год:=  175 руб/мес*278 чел* 12 мес
2023 год:= 182 руб/мес*278 чел* 12 мес</t>
  </si>
  <si>
    <t>диспансеризация работников
2021 год:=3865 руб*12 чел
2022 год:=  4031 руб*12 чел
2023 год:= 4200 руб*12 чел</t>
  </si>
  <si>
    <t>Затраты на страхование имущества</t>
  </si>
  <si>
    <t>Затраты на приобретение мебели
2021 год:=40393 руб/чел *39 чел
2022 год:=  42130 руб/чел *39 чел
2023 год:= 43899 руб/чел *39 чел</t>
  </si>
  <si>
    <t>Затраты на  приобретение канцелярских принадлежностей
2021 год:=10229 руб/чел *278 чел
2022 год:=  10669 руб/чел *278 чел
2023 год:= 11117 руб/чел *278 чел</t>
  </si>
  <si>
    <t>Затраты на приобретение хозяйственных товаров и принадлежностей
2021 год:=14,50 руб/м2 в мес.*3720,5 м2*12 мес
2022 год:= 15,00 руб/м2 в мес.*3720,5 м2*12 мес
2023 год:= 16,00 руб/м2 в мес.*3720,5 м2*12 мес</t>
  </si>
  <si>
    <t>2.7.6</t>
  </si>
  <si>
    <t>Затраты на приобретение горюче-смазочных материалов</t>
  </si>
  <si>
    <t>Срок полезного использования 3 года постановление РФ 1 от 01.01.2020 прилож 1  код 330.28.23.23 машины офисные прочие 
2021 год:= 278 чел*23243 руб/чел/3 г*150%
2022 год:= 278 чел*24242 руб/чел/3 г*150%
2023 год:= 278 чел*25260 руб/чел/3 г*150%</t>
  </si>
  <si>
    <t>Аренда помещений площадью 550 кв.м в Выборгском районе СПб: 
2021 год:= 550,0 кв.м * 1006 руб/кв.м*12 мес
2022 год:=  550,0 кв.м * 1049 руб/кв.м*12 мес
2023 год:=  550,0 кв.м * 1093 руб/кв.м*12 мес</t>
  </si>
  <si>
    <t>Аренда автотранспортных средств с экипажем ( оказание транспортных услуг):  макс количество ТС для аренды 0,1х278 чел=27,8 ед. Дирекции требуется не более 11 ед. на 2021-2023 года:
2021 год:= 11 ед  * 690руб/час*12 часов* 249 раб дн.
2022 год:=  11 ед  * 690руб/час*12 часов* 249 раб дн.
2023 год:=  11 ед  * 690руб/час*12 часов* 247 раб дн.</t>
  </si>
  <si>
    <t xml:space="preserve">Расчет нормативных затрат на оплату услуг аренды транспортных средств осуществляется по формуле:
НЗа тс = 0,1*Чр x Нц а тс x Да тс,  где: 
НЗа тс - нормативные затраты на оплату услуг аренды транспортных средств;
Чр - расчетная численность работников;
Нц а тс - норматив цены услуг аренды транспортных средств  значение установлено в соответствии распоряжением КЭПиСП на соответствующие плановые периоды;
Да тс - количество дней оказания услуг аренды транспортных средствс , но не более количества рабочих дней в году.
</t>
  </si>
  <si>
    <t>Расчет нормативных затрат на приобретение материальных запасов в сфере информационно-коммуникационных технологий осуществляется исходя из следующих подгрупп затрат:
затраты на приобретение магнитных и оптических носителей информации;
затраты на приобретение деталей для содержания принтеров, многофункциональных устройств и копировальных аппаратов (оргтехники).</t>
  </si>
  <si>
    <t>В соответствии с действющим нормами затрат КИО  на аренду земельного участка в 2020 году с учетом применения ИПЦ  (Распоряжение администрации Центрального района Санкт-Петербурга 
от 07.12.2007 № 1820-р)</t>
  </si>
  <si>
    <t>Расчет по потребности для обеспечения нужд Дирекции на основании коммерческих предложений 2020 года с учетом применения ИПЦ
2021 год:=161686,33 руб. * ИПЦ 2021
2022 год:=   161686,33 руб* ИПЦ 2021*ИПЦ 2022
2023 год:= 161686,33 руб* ИПЦ 2021*ИПЦ 2022* ИПЦ 2023</t>
  </si>
  <si>
    <t xml:space="preserve">Затраты на приобретение деталей для содержания принтеров, многофункциональных устройств и копировальных аппаратов (оргтехники) </t>
  </si>
  <si>
    <t>На основании заключенного договора  №596 от 21.12.2019 на 2020 - 2021 год,а также для оплаты по авансовым отчетам сотрудникам Дирекции и с применением ИПЦ</t>
  </si>
  <si>
    <t>На основании заключенного договора в 2019 году с учетом применения ИПЦ
2021 год:= 20,0 тыс.руб* ИПЦ 2021
2022 год:=   20,0 тыс.руб* ИПЦ 2021*ИПЦ 2022
2023 год:=20,0 тыс.руб* ИПЦ 2021*ИПЦ 2022* ИПЦ 202</t>
  </si>
  <si>
    <t>(на основании стоимости из реестра цен на 2 квартал 2020 года (центр мониторинга и экспертизы цен *ИПЦ)
2021 год: 259,9 тыс.руб*ИПЦ2021
2022 год:=  259,9 тыс.руб* ИПЦ 2021*ИПЦ 2022
2023 год:= 259,9 тыс.руб* ИПЦ 2021*ИПЦ 2022* ИПЦ 2023</t>
  </si>
  <si>
    <t>(на основании стоимости из реестра цен на 2 квартал 2020 года (центр мониторинга и экспертизы цен) *ИПЦ
2021 год: 4200 тыс.руб*ИПЦ2021
2022 год:=  4200 тыс.руб* ИПЦ 2021*ИПЦ 2022
2023 год:= 4200 тыс.руб* ИПЦ 2021*ИПЦ 2022* ИПЦ 2023</t>
  </si>
  <si>
    <t>Прибретение АИ-95 и ДТ (на основании стоимости из реестра цен на 2 квартал 2020 года (центр мониторинга и экспертизы цен) *ИПЦ
2021 год: (46,85 руб/л * 35000 л+ 49,87 руб/л*1200л)*ИПЦ2021
2022 год:=  (46,85 руб/л * 35000 л+ 49,87руб/л*1200л)* ИПЦ 2021*ИПЦ 2022
2023 год:=(46,85 руб/л * 35000 л+ 49,87руб/л*1200л)* ИПЦ 2021*ИПЦ 2022* ИПЦ 2023</t>
  </si>
  <si>
    <t>(на основании стоимости из реестра цен на 2 квартал 2020 года (центр мониторинга и экспертизы цен) *ИПЦ
2021 год: 749,5 тыс.руб*ИПЦ2021
2022 год:=  749,5 тыс.руб* ИПЦ 2021*ИПЦ 2022
2023 год:= 749,5 тыс.руб* ИПЦ 2021*ИПЦ 2022* ИПЦ 2023</t>
  </si>
  <si>
    <t>(на основании стоимости из реестра цен на 2 квартал 2020 года (центр мониторинга и экспертизы цен *ИПЦ)
2021 год: 450000 руб.*ИПЦ2021
2022 год:=  450000 руб.* ИПЦ 2021*ИПЦ 2022
2023 год:= 450000 руб.* ИПЦ 2021*ИПЦ 2022* ИПЦ 2023</t>
  </si>
  <si>
    <t>Страхование транспортных средств и помещения переданного в безвозмездное пользование (исходя из стоимости страхвания по коммерческим предложениям в 2020 году *ИПЦ)
2021 год: 159020,08 руб *ИПЦ2021
2022 год:=  159020,08 руб* ИПЦ 2021*ИПЦ 2022
2023 год:=159020,08 руб* ИПЦ 2021*ИПЦ 2022* ИПЦ 2023</t>
  </si>
  <si>
    <t>(На основании расчета потребности организации на участие в семинарах и консультационно-информационных услугах, повышении квалификации на основании КП на 2020 год  *ИПЦ)
2021 год:= 739200 руб* ИПЦ 2021
2022 год:=   739200 руб*  ИПЦ 2021*ИПЦ 2022
2023 год:= 739200 руб* ИПЦ 2021*ИПЦ 2022* ИПЦ 2023</t>
  </si>
  <si>
    <t>(На основании потребности организации в соответствии с коммерческими предложениями в  2020 году *ИПЦ)
2021 год:=50 тыс.руб* ИПЦ 2021
2022 год:=  50 тыс.руб* ИПЦ 2021*ИПЦ 2022
2023 год:= 50 тыс.руб* ИПЦ 2021*ИПЦ 2022* ИПЦ 2023</t>
  </si>
  <si>
    <t>техническое обслуживание и ремонт АТС (распоряжение КЭПиСП):
2021 год:= 13117,8 руб/мес*12 мес+50м*82 руб+150 руб* 30 роз
2022 год:=  13399,2 руб/мес*12 мес+50м*86 руб+156 руб* 30 роз
2023 год:=   13680,58 руб/мес*12 мес+50м*90 руб+163 руб* 30 роз</t>
  </si>
  <si>
    <t>(На основании расчета потребности организации в соответствии с коммерческими предложениями в  2020 году *ИПЦ)
2021 год:= 3153052,74 руб.* ИПЦ 2021
2022 год:=   3153052,74 руб.* ИПЦ 2021*ИПЦ 2022
2023 год:= 3153052,74 руб.* ИПЦ 2021*ИПЦ 2022* ИПЦ 2023</t>
  </si>
  <si>
    <t>Подготовка к отопительному периоду  узлов коммерческого учета тепловой энергии  и Обслуживание узлов коммерческого учета тепловой энергии (На основании расчета потребности организации в соответствии с коммерческими предложениями в  2020 году *ИПЦ)
2021 год:= (73350 руб+ 81045,80 руб)* ИПЦ 2021
2022 год:=   (73350 руб+ 81045,80 руб)* ИПЦ 2021*ИПЦ 2022
2023 год:= (73350 руб+ 81045,80 руб)* ИПЦ 2021*ИПЦ 2022* ИПЦ 2023</t>
  </si>
  <si>
    <t>Техническое обслуживание и ремонт комплексов средств охраны (На основании расчета потребности организации в соответствии с коммерческими предложениями в  2020 году *ИПЦ)
2021 год:= 1 усл.*1049880 руб/ год* ИПЦ 2021
2022 год:=   1 усл.*1049880 руб/ год* ИПЦ 2021*ИПЦ 2022
2023 год:= 1 усл.*1049880 руб/ год* ИПЦ 2021*ИПЦ 2022* ИПЦ 2023</t>
  </si>
  <si>
    <t>(На основании потребности организации в соответствии с коммерческими предложениями в  2020 году *ИПЦ)
2021 год:= 4463,33руб./мес*12 мес* ИПЦ 2021
2022 год:=   4463,33руб./мес*12 мес* ИПЦ 2021*ИПЦ 2022
2023 год:= 4463,33руб./мес*12 мес* ИПЦ 2021*ИПЦ 2022* ИПЦ 2023</t>
  </si>
  <si>
    <t>(На основании  потребности организации в соответствии с коммерческими предложениями в  2020 году *ИПЦ)
2021 год:= 1 усл.*14400 руб/ год* ИПЦ 2021
2022 год:=   1 усл.*14400 руб/ год* ИПЦ 2021*ИПЦ 2022
2023 год:= 1 усл.*14400 руб/ год* ИПЦ 2021*ИПЦ 2022* ИПЦ 2023</t>
  </si>
  <si>
    <t>(На основании  потребности организации в соответствии с коммерческими предложениями в  2020 году *ИПЦ)
2021 год:= 239707,8 руб./год* ИПЦ 2021
2022 год:=   239707,8 руб./год* ИПЦ 2021*ИПЦ 2022
2023 год:= 239707,8 руб./год* ИПЦ 2021*ИПЦ 2022* ИПЦ 2023</t>
  </si>
  <si>
    <t>(На основании  потребности организации в соответствии с коммерческими предложениями в  2020 году *ИПЦ)
2021 год:= 34,17 руб/м2*1489,7 м2* ИПЦ 2021
2022 год:= 34,17 руб/м2*1489,7 м2* ИПЦ 2021*ИПЦ 2022
2023 год:= 34,17 руб/м2*1489,7 м2* ИПЦ 2021*ИПЦ 2022* ИПЦ 2023</t>
  </si>
  <si>
    <t>(На основании потребности организации в соответствии с коммерческими предложениями в 2020 году *ИПЦ)
2021 год:= 107815 руб/ квартал*4 кварт.* ИПЦ 2021
2022 год:= 107815 руб/ квартал*4 кварт.* ИПЦ 2021*ИПЦ 2022
2023 год:= 107815 руб/ квартал*4 кварт.* ИПЦ 2021*ИПЦ 2022* ИПЦ 2023</t>
  </si>
  <si>
    <t>(На основании потребности организации в соответствии со сметой утвержденной на собрании собственников помещений на 2020 год *ИПЦ)
2021 год:=503974,08 руб/ год* ИПЦ 2021
2022 год:=  503974,08 руб/ год* ИПЦ 2021*ИПЦ 2022
2023 год:= 503974,08 руб/ год* ИПЦ 2021*ИПЦ 2022* ИПЦ 2023</t>
  </si>
  <si>
    <t>(На основании потребности организации в соответствии с коммерческими предложениями в  2020 году *ИПЦ)
2021 год:=1285,39 руб/ м3*180м3* ИПЦ 2021
2022 год:=  1285,39 руб/ м3*180м3* ИПЦ 2021*ИПЦ 2022
2023 год:=1285,39 руб/ м3*180м3* ИПЦ 2021*ИПЦ 2022* ИПЦ 2023</t>
  </si>
  <si>
    <r>
      <t>(На основании потребности организации в соответствии с коммерческими предложениями в  2020 году *ИПЦ)
2021 год: 
обслуживание вентиляции =41000 руб*12месяц = 492000руб* ИПЦ2021;
обслуживание газовой котельной = 22833,33 руб*12 мес* ИПЦ2021;
Уборка снега( 759 м2)=31878 руб/усл*6 усл *ИПЦ2021;
Обслуживание зданий = 98916,67 руб/здание в месяц* 2 здания*12 мес.*ИПЦ2021;
Уборка помещений и терри</t>
    </r>
    <r>
      <rPr>
        <sz val="12"/>
        <rFont val="Times New Roman"/>
        <family val="1"/>
        <charset val="204"/>
      </rPr>
      <t>тории =499750,00 руб./мес*12 мес* ИПЦ2021;
Ремонт и ТО автомобилей= 1348069,61*ИПЦ2021;
Мойка автомобилей = 44887,00руб * ИПЦ2021
Калибровка и аттестация,поверка и экспертиза лабораторного оборудования = 1818410 руб *ИПЦ 2021</t>
    </r>
    <r>
      <rPr>
        <sz val="12"/>
        <color theme="1"/>
        <rFont val="Times New Roman"/>
        <family val="1"/>
        <charset val="204"/>
      </rPr>
      <t xml:space="preserve">
2022 год:=  Итог 2021 года* ИПЦ 2021*ИПЦ 2022
2023 год:=Итог 2021 года* ИПЦ 2021*ИПЦ 2022* ИПЦ 2023</t>
    </r>
  </si>
  <si>
    <t>(На основании  потребности организации в соответствии со стоимостью услуг по исполненным контрактам в 2019 году *ИПЦ)
2021 год:=51157,75 руб.*4 мес.* ИПЦ 2021
2022 год:=  51157,75 руб.*4 мес* ИПЦ 2021*ИПЦ 2022
2023 год:= 51157,75 руб.*4 мес* ИПЦ 2021*ИПЦ 2022* ИПЦ 2023</t>
  </si>
  <si>
    <t>(На основании потребности организации в соответствии с коммерческими предложениями на  2020 год *ИПЦ)
2021 год:=11802806,40 руб/год.* ИПЦ 2021
2022 год:=  11802806,40 руб/год.* ИПЦ 2021*ИПЦ 2022
2023 год:= 11802806,40 руб/год.* ИПЦ 2021*ИПЦ 2022* ИПЦ 2023</t>
  </si>
  <si>
    <t>(На основании потребности организации в соответствии с коммерческими предложениями на  2020 год *ИПЦ)
2021 год:=733,33 руб /дело*104 дело+ 90 руб/ опись*104 описей* ИПЦ 2021
2022 год:=  733,33 руб /дело*104 дело+ 90 руб/ опись*104 описей* ИПЦ 2021*ИПЦ 2022
2023 год:= 733,33 руб /дело*104 дело+ 90 руб/ опись*104 описей* ИПЦ 2021*ИПЦ 2022* ИПЦ 2023</t>
  </si>
  <si>
    <t>(На основании  потребности организации в соответствии с коммерческими предложениями в  2019 году *ИПЦ)
2021 год:=533,33 руб/ ед *500 ед * ИПЦ 2021
2022 год:=  533,33 руб/ ед * 500 ед * ИПЦ 2021*ИПЦ 2022
2023 год:= 533,33 руб/ ед * 500ед * ИПЦ 2021*ИПЦ 2022* ИПЦ 2023</t>
  </si>
  <si>
    <t>(На основании расчета потребности организации в соответствии с коммерческими предложениями в  2020 году *ИПЦ)
2021 год: 
погрузочно-разгрузочные работы (услуги грузчиков для перемещения имущества между объектами Дирекции) ( 275 руб/час*2000 чел/час*ИПЦ2021;
Размещение объявлений  о подбору вакансий на интернет ресурсах 49933,33 руб * ИПЦ2021
Нотариальные услуги 50000,00 руб * ИПЦ2021
Предрейсовый мед осмотр 140,4 тыс.руб* ИПЦ2021
2022 год:=  Итог 2021 года* ИПЦ 2021*ИПЦ 2022
2023 год:=Итог 2021 года* ИПЦ 2021*ИПЦ 2022* ИПЦ 2023</t>
  </si>
  <si>
    <t>(На основании расчета потребности организации в соответствии с коммерческими предложениями на  2020 год *ИПЦ)
2021 год: 77990,00 руб * 15 ед.*ИПЦ2021
2022 год:=  77990,00 руб * 10 ед* ИПЦ 2021*ИПЦ 2022
2023 год:= 77990,00 руб * 5 ед* ИПЦ 2021*ИПЦ 2022* ИПЦ 2023</t>
  </si>
  <si>
    <t>(Потребность Дирекции в приобретении стеллажей и прочих основных средств на основании стоимости из реестра цен на 2 квартал 2020 года (центр мониторинга и экспертизы цен *ИПЦ). И оборудование для лаборатории на основании коммерчских предложений на 2020 год (1882,4 тыс.руб)*ИПЦ
2021 год: 3250 тус.руб.*ИПЦ2021
2022 год:=  3250 тус.руб.* ИПЦ 2021*ИПЦ 2022
2023 год:= 3250 тус.руб.* ИПЦ 2021*ИПЦ 2022* ИПЦ 2023</t>
  </si>
  <si>
    <t>ИТОГО</t>
  </si>
  <si>
    <t xml:space="preserve">Расчет нормативных затрат на проведение диспансеризации работников осуществляется по формуле:
НЗдисп = Чр x Нц дисп, где: 
НЗдисп - нормативные затраты на проведение диспансеризации работников;
Чр - расчетная численность работников;
Нц дисп - норматив цены диспансеризации одного работника.
</t>
  </si>
  <si>
    <r>
      <t>Расчет нормативных затрат на приобретение других запасных частей для вычислительной техники осуществляется по формуле:
НЗзч 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Нц зч x Свт, где: 
НЗзч - нормативные затраты на приобретение других запасных частей для вычислительной техники;
Нц зч - норматив цены запасных частей для вычислительной техники;
Свт - первоначальная стоимость вычислительной техники, находящейся на балансе.
</t>
    </r>
  </si>
  <si>
    <r>
      <t>Расчет нормативных затрат на оплату услуг по сопровождению программного обеспечения осуществляется по формуле:
НЗспо=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Pспоi x Qспоi, где:
НЗспо – нормативные затраты на услуги по сопровождению программного обеспечения;
Pспоi - цена сопровождения i-ого программного обеспечения, определяемая согласно перечню работ по сопровождению справочно-правовых систем и нормативным трудозатратам на их выполнение, установленным в эксплуатационной документации или утвержденном регламенте выполнения работ по сопровождению справочно-правовых систем, определяемая в соответствии с положениями статьи 22 Закона 44-ФЗ, рассчитываемая на очередной финансовый год и на плановый период;
Qспоi- количество i-ых иных услуг по, сопровождению программного обеспечения;
i - наименование программного обеспечения.
</t>
    </r>
  </si>
  <si>
    <r>
      <t>Расчет нормативных затрат на техническое обслуживание индивидуального теплового пункта  осуществляется по формуле:
НЗтоитп=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Qтоитп x Pтоитп, где:
НЗтоитп - нормативные затраты на техническое обслуживание индивидуального теплового пункта;
Qтоитп - количество обслуживаемых индивидуальных тепловых пунктов;
Pтоитп - цена обслуживания 1 теплового пункта, определяемая в соответствии с положениями статьи 22 Закона 44-ФЗ, рассчитываемые на очередной финансовый год и на плановый период.
</t>
    </r>
  </si>
  <si>
    <r>
      <t>Расчет нормативных затрат на обслуживание грязезащитных ковров осуществляется по формуле:
НЗмк 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Qмк х Pмк, где:
НЗмк - нормативные затраты на обслуживание грязезащитных ковров;
Qмк - планируемое к приобретению количество услуг;
Pмк - цена 1 услуги, определяемая в соответствии с положениями статьи 22 Закона 44-ФЗ, рассчитываемая  на очередной финансовый год и на плановый период.
</t>
    </r>
  </si>
  <si>
    <r>
      <t>Расчет нормативных затрат на мытье окон осуществляется по формуле:
НЗмо=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iQмоi x Pмоi, где:
НЗмо - нормативные затраты мытье окон;                                             
Рмоi – цена за мытье одного i-го кв. м окна в помещении, определяемая в соответствии с положениями статьи 22 Закона 44-ФЗ и рассчитываемая на очередной финансовый год и на плановый период;
Q моi – количество i-ых кв. м окон в помещении;
i – тип окна.
</t>
    </r>
  </si>
  <si>
    <r>
      <t>Расчет нормативных затрат на приобретение офисной бумаги осуществляется по формуле1:
НЗбум 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Qбум x Pбум,
где: НЗбум - нормативные затраты на приобретение офисной бумаги;
Qбум - планируемое к приобретению количество i-ых
Pбум - цена 1 единицы i-ых иных материальных запасов, определяемая в соответствии с положениями статьи 22 Закона 44-ФЗ и рассчитываемая на очередной финансовый год и на плановый период;
i - вид иных материальных запасов.
</t>
    </r>
  </si>
  <si>
    <r>
      <t>Расчет нормативных затрат на дератизацию и дезинсекцию осуществляется по формуле:
НЗдер=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Qдерi x Pдерi, где:
НЗдер - нормативные затраты на дератизацию и дезинсекцию;
Qдерi – планируемое к приобретению количество i-ых услуг;
Pдерi - цена i-ой услуги, определяемая в соответствии с положениями статьи 22 Закона 44-ФЗ, рассчитываемые  на очередной финансовый год и на плановый период;
i – тип услуги.
</t>
    </r>
  </si>
  <si>
    <r>
      <t>Расчет нормативных затрат на техническое обслуживание комплекса технических средств и ремонт комплексов средств охраны осуществляется по формуле:
НЗктсо=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Qкстоi x Pктсоi, где:
НЗктсо - нормативные затраты на техническое обслуживание и ремонт комплексов средств охраны (пожарная, охранная сигнализации, система видеонаблюдения, тревожная кнопка);
Qктсоi - количество обслуживаемых i-ых технических средств охраны;
Pктсоi - цена обслуживания i-ого комплекса средств охраны, определяемая в соответствии с положениями статьи 22 Закона 44-ФЗ, рассчитываемая на очередной финансовый год и на плановый период
</t>
    </r>
  </si>
  <si>
    <r>
      <t>Расчет нормативных затрат на приобретение магнитных и оптических носителей информации осуществляется по формуле:
НЗмн=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Нкмнi x Нцмнi, где:
НЗмн - нормативные затраты на приобретение магнитных и оптических носителей информации;
Нк мнi   -  количество планируемого к приобретению i-го носителя информации, определяемый в зависимости от решаемых административных задач;
Нц мнi - цена 1 единицы i-го носителя информации, определяемый в соответствии с положениями статьи 22 Закона 44-ФЗ и рассчитываемая на очередной финансовый год и на плановый период;
i – тип носителя информации.
</t>
    </r>
  </si>
  <si>
    <r>
      <t>Расчет нормативных затрат на оплату услуг почтовой связи осуществляется по формуле:
НЗпус=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Qпусi x Pпусi, где:
НЗпус - нормативные затраты на оплату услуг почтовой связи;
Qпусi - планируемое количество i-ых почтовых отправлений в год;
Pпусi - цена 1 i-ого почтового отправления с учетом его веса, определяемое в соответствии с тарифами на основные и дополнительные услуги, утвержденными приказом УФПС г. Санкт-Петербурга и Ленинградской области – филиала ФГУП «Почта России» и в соответствии с положениями статьи 22 Закона 44-ФЗ и рассчитываемая  на очередной финансовый год и на плановый период; 
i - вид почтового отправления.
</t>
    </r>
  </si>
  <si>
    <r>
      <t>Расчет нормативных затрат на оплату коммунальных услуг осуществляется по формуле:
НЗку=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Нкуi x Vкуi, где:
НЗку – затраты на оплату коммунальных услуг;
Нкуi - норматив цены (тариф на i-ую коммунальную услугу) устанавливается распоряжением Комитета по тарифам Санкт-Петербурга;
Vкуi - норматив количества (объем) потребляемых i-ых коммунальных ресурсов в натуральных показателях;
i – тип коммунальных услуг.
</t>
    </r>
  </si>
  <si>
    <r>
      <t>Расчет нормативных затрат на техническое обслуживание кондиционеров осуществляется по формуле:
НЗмо=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Qмоi x Pмоi, где:
НЗмо - нормативные затраты на техническое обслуживание кондиционеров;                                             
Рмоi – цена за мытье одного i-го кв. м окна в помещении, определяемая в соответствии с положениями статьи 22 Закона 44-ФЗ и рассчитываемая на очередной финансовый год и на плановый период;
Q моi – количество i-ных кв. м окон в помещении;
i – тип окна.
</t>
    </r>
  </si>
  <si>
    <r>
      <t>Расчет прочих нормативных затраты на работы и услуги по содержанию имущества осуществляется по формуле:
НЗпрусздi=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Qпрусздi x Pпрусздi, где:
НЗпрусздi - прочие нормативные затраты на работы и услуги по содержанию имущества;
Qпрусздi - количество i-ых прочих работ и услуг по содержанию имущества;
Pпрусздi - цена i-ых работ и услуг по содержанию имущества, определяемая в соответствии с положениями статьи 22 Закона 44-ФЗ и рассчитываемая на очередной финансовый год и на плановый период;
i - тип прочих работ и услуг.
</t>
    </r>
  </si>
  <si>
    <r>
      <t>Расчет нормативных затрат на оплату типографических работ и услуг осуществляется по формуле:
НЗтруi=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Qтруi x Pтруi, где:
НЗтруi – нормативные затраты на оплату типографических работ и услуг;
Qтруi - количество i-ых затрат на оплату типографических работ и услуг;
Pтруi - цена i-ых затрат на оплату типографических работ и услуг, определяемая в соответствии с положениями статьи 22 Закона 44-ФЗ и рассчитываемая на очередной финансовый год и на плановый период;
i - тип типографических работ и услуг.
</t>
    </r>
  </si>
  <si>
    <r>
      <t>Расчет нормативных затрат оплату услуг лиц, привлекаемых на основании гражданско-правовых договоров (внештатных сотрудников) осуществляется по формуле:
НЗвнсi=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Qвнсi x Pвнсi,х (1 + ti) где:
НЗвнсi – нормативные затраты на оплату типографических работ и услуг;
Qвнсi - планируемое количество месяцев работы внештатного сотрудника по i-ой должности;
Pвнсi - цена 1 месяца работы внештатного сотрудника по i-ой должности;
ti - процентная ставка страховых взносов в государственные внебюджетные фонды;
i - должность внештатного сотрудника.
</t>
    </r>
  </si>
  <si>
    <r>
      <t>Расчет нормативных затрат на оплату услуг ведомственной охраны осуществляется по формуле:
 НЗвох=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Qвохi x Pвохi, где:
НЗвох - нормативные затраты на оплату услуг вневедомственной охраны;
Pвохi - цена услуги охраны i-ого здания в месяц, определяемая в соответствии с положениями статьи 22 Закона 44-ФЗ и рассчитываемая на очередной финансовый год и на плановый период;
Qвoxi – количество административных зданий;
i - административное здание.
</t>
    </r>
  </si>
  <si>
    <r>
      <t>Расчет нормативных затрат по архивной обработке и уничтожению документов осуществляется по формуле:
НЗарх=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Qархi x Pархi, где:
НЗарх – нормативные затраты по архивной обработке и уничтожению документов;
Qархi - количество i-ых услуг по архивной обработке и уничтожению документов;
Pархi - цена i-ых услуг по архивной обработке и уничтожению документов, определяемая в соответствии с положениями статьи 22 Закона 44-ФЗ, рассчитываемая на очередной финансовый год и на плановый период;
i - тип услуг по архивной обработке и уничтожению документов.
</t>
    </r>
  </si>
  <si>
    <r>
      <t>Расчет нормативных затрат на участие в семинарах   и консультационно-информационные услуги осуществляется по следующей формуле:
НЗскиу=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Qскиуi x Pскиуi, где:
НЗскиу - нормативные затраты  на участие в семинарах и консультационно-информационные услуги;
Qскиуi - количество работников, направляемых на участие в i-ый вид семинара;
Pскиуi - цена участия 1 работника по i-ому виду семинара, определяемая в соответствии с положениями статьи 22 Закона 44-ФЗ и рассчитываемая на очередной финансовый год и на плановый период;
i - вид семинара и консультационно-информационных услуг.
</t>
    </r>
  </si>
  <si>
    <r>
      <t>Расчет нормативных затрат на утилизацию пришедшего в негодность имущества осуществляется по формуле:
НЗуни=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Qуниi x Pуниi, где:
НЗуни – нормативные затраты на утилизацию пришедшего в негодность имущества;
Qуниi - количество i-ых утилизируемых единиц имущества, пришедшего в негодность;
Pуниi - цена i-ой услуги по утилизации пришедшего в негодность имущества, определяемая в соответствии с положениями статьи 22 Закона 44-ФЗ, рассчитываемая на очередной финансовый год и на плановый период;
i - тип утилизируемого имущества.
</t>
    </r>
  </si>
  <si>
    <r>
      <t>Расчет нормативных затрат на прочие работы и услуги осуществляется по формуле:
НЗпру=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Qпруi x Pпруi, где:
НЗпру - прочие нормативные затраты на работы и услуги;
Qпруi - количество i-ых прочих работ и услуг;
Pпруi - цена i-ых работ и услуг, определяемая в соответствии с положениями статьи 22 Закона 44-ФЗ, рассчитываемая на очередной финансовый год и на плановый период;
i - тип прочих работ и услуг.
</t>
    </r>
  </si>
  <si>
    <r>
      <t>Затраты на приобретение систем кондиционирования осуществляется по формуле:
НЗскн=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Qскнi x Pскнi, где:
НЗскн - нормативные затраты на приобретение систем кондиционирования;
Qскнi - планируемое к приобретению количество i-ых кондиционеров;
Pскнi - цена 1 единицы i-ого кондиционера, определяемая в соответствии с положениями статьи 22 Закона 44-ФЗ и рассчитываемая  на очередной финансовый год и на плановый период;
i - тип системы кондиционирования.
</t>
    </r>
  </si>
  <si>
    <r>
      <t>Расчет нормативных затрат на приобретение бытовой техники осуществляется по формуле:
НЗбт=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Qбтi x Pбтi, где:
НЗбт - нормативные затраты на приобретение бытовой техники;
Qбтi - планируемое к приобретению количество i-ых бытовой техники;
Pбтi - цена 1 единицы i-ого бытовой техники, определяемая в соответствии с положениями статьи 22 Закона 44-ФЗ и рассчитываемая на очередной финансовый год и на плановый период;
i - тип бытовой техники.
</t>
    </r>
  </si>
  <si>
    <r>
      <t>Расчет нормативных затрат на приобретение иных основных средств осуществляется по формуле:
НЗиос=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Qиосi x Pиосi, где:
НЗиос - нормативные затраты на приобретение иных основных средств;
Qиосi - планируемое к приобретению количество i-ых иных основных средств;
Pиосi - цена 1 единицы i-ого иных основных средств, определяемая в соответствии с положениями статьи 22 Закона 44-ФЗ и рассчитываемая на очередной финансовый год и на плановый период;
i - вид иных основных средств,
</t>
    </r>
  </si>
  <si>
    <r>
      <t>Расчет нормативных затрат на приобретение иных материальных запасов осуществляется по формуле:
НЗимз=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Qимзi x Pимзi, где:
НЗимз - нормативные затраты на приобретение иных материальных запасов;
Qимзi - планируемое к приобретению количество i-ых иных материальных запасов;
Pимзi - цена 1 единицы i-ых иных материальных запасов, определяемая в соответствии с положениями статьи 22 Закона 44-ФЗ и рассчитываемая на очередной финансовый год и на плановый период;
i - вид иных материальных запасов.
</t>
    </r>
  </si>
  <si>
    <t>Приложение  № 3
к распоряжению  Комитета по развитию транспортной инфраструктуры
Санкт-Петербурга
от ___________ № ____________</t>
  </si>
  <si>
    <t>Расчет по потребности для обеспечения нужд Дирекции на основании коммерческих предложений 2020 года с учетом применения ИПЦ
2021 год:Визардсофт = 2140913,33 руб.  * ИПЦ 2021 19 мест 
Гранд Смета = 508200,00 руб * ИПЦ 2021 14 мест
1С Бух= 504100,00 руб** ИПЦ 2021
Итого 2021= 3153213,33 руб* ИПЦ 2021
2022 год:=  3153213,33 руб* ИПЦ 2021*ИПЦ 2022
2023 год:= 3153213,33 руб* ИПЦ 2021*ИПЦ 2022* ИПЦ 2023</t>
  </si>
  <si>
    <r>
      <t>Расчет нормативных затрат на оплату услуги фельдъегерской связи осуществляется по формуле:
НЗфс=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Qфсi x Pфсi, где:
НЗфс – нормативные затраты на оплату услуг федеральной фельдъегерской связи;
Qфсi - количество листов (пакетов) планируемой корреспонденции, определяется с учетом фактических отправлений за отчетный финансовый год;
Pфсi - цена 1 листа (пакета) планируемой корреспонденции, определяемая в соответствии с тарифами на услуги федеральной фельдъегерской связи для лиц и органов власти, определенных статьей 2 Закона №67-ФЗ «О федеральной фельдъегерской связи», утвержденными приказом ГФС России и в соответствии с положениями статьи 22 Закона   44-ФЗ и рассчитываемая  на очередной финансовый год и на плановый период;
i - вид корреспонденции.
</t>
    </r>
  </si>
  <si>
    <t xml:space="preserve">На основании расчетов лимитов ТЭР (в процессе согласования с Комитетом по энергетике, на проверке КРТИ 11.06.2020). </t>
  </si>
  <si>
    <t xml:space="preserve">Расчет нормативных затрат на приобретение деталей для содержания оргтехники (принтеров, многофункциональных устройств и копировальных аппаратов) осуществляется по формуле:
НЗдет орг = Нц дет орг x НЗорг,
где: НЗдет орг - нормативные затраты на приобретение деталей для содержания оргтехники (принтеров, многофункциональных устройств и копировальных аппаратов);
Нц дет орг - норматив цены приобретения деталей для содержания оргтехники (принтеров, многофункциональных устройств и копировальных аппаратов);
НЗорг - нормативные затраты на приобретение оргтехники (приобретение принтеров, многофункциональных устройств, копировальных аппаратов)
</t>
  </si>
  <si>
    <t xml:space="preserve">Расчет нормативных затрат на оплату услуг аренды транспортных средств с экипажем осуществляется по формуле:
НЗа тс = 0,1 x Чр x Нц а тс x Да тс,  где: 
НЗа тс - нормативные затраты на оплату услуг аренды транспортных средств с экипажем;
Чр - расчетная численность работников;
Нц а тс - норматив цены услуг аренды транспортных средств с экипажем значение установлено в соответствии с Обязательным перечнем отдельных видов товаров, работ, услуг, в отношении которых определяются требования к их потребительским свойствам (в том числе характеристикам качества) и иным характеристикам (в том числе предельные цены товаров, работ, услуг), утвержденного постановлением Правительства Санкт-Петербурга от 15 июня 2016 г. №489 «Об утверждении правил определения требований к закупаемым государственным органам Санкт-Петербурга, органом управления территориальным государственным внебюджетным фондом и подведомственными им казенными и бюджетными учреждениями отдельным видам товаров, работ, услуг (в том числе предельных цен товаров, работ, услуг)»);
Да тс - количество дней оказания услуг аренды транспортных средствс экипажем, но не более количества рабочих дней в году.
</t>
  </si>
  <si>
    <r>
      <t xml:space="preserve">Расчет нормативных затрат на техническое обслуживание и регламентно-профилактический ремонт лифтов осуществляется по формуле:
НЗтол = </t>
    </r>
    <r>
      <rPr>
        <sz val="12"/>
        <color theme="1"/>
        <rFont val="Times New Roman"/>
        <family val="1"/>
        <charset val="204"/>
      </rPr>
      <t xml:space="preserve">Qтол х Pтол, где:
НЗтол - нормативные затраты на техническое обслуживание и регламентно-профилактический ремонт лифтов;
Qтол - количество лифтов;
Pтол - цена технического обслуживания и текущего ремонта 1 лифта в год, определяемая в соответствии с положениями статьи 22 Закона 44-ФЗ, рассчитываемая  на очередной финансовый год и на плановый период.
</t>
    </r>
  </si>
  <si>
    <r>
      <t>Расчет нормативных затрат на техническое обслуживание и ремонт АТС  осуществляется по формуле:
НЗатс =</t>
    </r>
    <r>
      <rPr>
        <sz val="12"/>
        <color theme="1"/>
        <rFont val="Times New Roman"/>
        <family val="1"/>
        <charset val="204"/>
      </rPr>
      <t xml:space="preserve">Qатс х Pатс, где:
НЗатс - нормативные затраты техническое обслуживание и ремонт АТС;                                             
Qатс - количество АТС;
Pатс - цена технического обслуживание и ремонт АТС, определяемая в соответствии с положениями статьи 22 Закона 44-ФЗ и рассчитываемая на очередной финансовый год и на плановый период.
</t>
    </r>
  </si>
  <si>
    <r>
      <t>Расчет нормативных затрат  на содержание общедолевого имущества осуществляется по формуле:
НЗсои= ∑</t>
    </r>
    <r>
      <rPr>
        <vertAlign val="superscript"/>
        <sz val="12"/>
        <color theme="1"/>
        <rFont val="Times New Roman"/>
        <family val="1"/>
        <charset val="204"/>
      </rPr>
      <t>n</t>
    </r>
    <r>
      <rPr>
        <vertAlign val="subscript"/>
        <sz val="12"/>
        <color theme="1"/>
        <rFont val="Times New Roman"/>
        <family val="1"/>
        <charset val="204"/>
      </rPr>
      <t>i=1</t>
    </r>
    <r>
      <rPr>
        <sz val="12"/>
        <color theme="1"/>
        <rFont val="Times New Roman"/>
        <family val="1"/>
        <charset val="204"/>
      </rPr>
      <t xml:space="preserve">iНсоиi x Vсоиi, где:
НЗсои – нормативные затраты на содержание общедолевого имущества;
Нсоиi - норматив цены (i-ый тариф на содержание общедолевого имущества);
Vсоиi - норматив количества (объем) потребляемых коммунальных ресурсов в натуральных показателях;
i – тариф на содержание общедолевого имущества.
</t>
    </r>
  </si>
  <si>
    <r>
      <t xml:space="preserve">Расчет нормативных затрат  на вывоз и размещение твердых бытовых отходов осуществляется по формуле:
НЗтбо = </t>
    </r>
    <r>
      <rPr>
        <sz val="12"/>
        <color theme="1"/>
        <rFont val="Times New Roman"/>
        <family val="1"/>
        <charset val="204"/>
      </rPr>
      <t xml:space="preserve">Qтбо х Pтбо, где:
НЗтбо – нормативные затраты на вывоз и размещение твердых бытовых отходов;
Qтбо - количество куб. м ТБО в год;
Pтбо - цена вывоза 1 куб. м ТБО.
</t>
    </r>
  </si>
  <si>
    <t xml:space="preserve">Расчет нормативных затрат на приобретение периодических печатных изданий осуществляется по формуле:
НЗпи = Чр x Нц пи x Мпи, где:
НЗпи - нормативные  затраты на приобретение периодических печатных изданий;
Чр - расчетная численность работников;
Нц пи - цена приобретения периодических печатных изданий, определяемая в соответствии с положениями статьи 22 Закона 44-ФЗ и рассчитываемая на очередной финансовый год и на плановый период;
Мпи - количество месяцев приобретения периодических печатных изданий
</t>
  </si>
  <si>
    <t xml:space="preserve">Значение нормативных затрат </t>
  </si>
  <si>
    <t>Нормативные затраты на обеспечение функций
Санкт-Петербургского государственного казенного учреждения «Дирекция транспортного строительства»
на 2021 год и на плановый период 2022 и 2023 годов</t>
  </si>
  <si>
    <t>Расчет нормативных затрат на приобретение мебели осуществляет исходя из нормативных затрат на приобретение комплекта мебели по формуле:
где: НЗмеб - нормативные затраты на приобретение комплекта мебели;
Нц меб - норматив цены комплекта мебели в расчете на одного работника ИОГВ (ОУ ТГВФ, КУ);
Чпр - прогнозируемая численность работников ИОГВ (ОУ ТГВФ, КУ);
Нспи меб - норматив срока полезного использования комплекта мебели;
Чпл - количество должностей, планируемых к замещению в ИОГВ (ОУ ТГВФ, КУ)</t>
  </si>
  <si>
    <t>2021 год</t>
  </si>
  <si>
    <t>2022 год</t>
  </si>
  <si>
    <t>2023 год</t>
  </si>
  <si>
    <t>Расчет затрат на информационно-коммуникационные технологии осуществляется исходя из следующих групп затрат:
затраты на приобретение прочих работ и услуг, не относящихся к затратам на услуги связи, аренду и содержание имущества;
затраты на приобретение материальных запасов в сфере информационно-коммуникационных технологий.</t>
  </si>
  <si>
    <t xml:space="preserve">Расчет прочих нормативных затрат (в том числе нормативных затрат на закупку товаров, работ и услуг в целях оказания государственных услуг (выполнения работ) и реализации государственных функций), не указанных в подпунктах «а» - «ж»  пункта 6 Общих правил, осуществляется исходя из следующих групп затрат:
затраты на услуги связи;
затраты на коммунальные услуги;
затраты на аренду помещений, автотранспортных средств и земли;
затраты на содержание имущества;
затраты на приобретение основных средств;
затраты на приобретение прочих работ, услуг;
затраты на приобретение материальных запасов, не отнесенные к затратам, указанным в подпунктах «а» - «ж»  пункта 6 Общих правил.
</t>
  </si>
  <si>
    <t xml:space="preserve">Расчет нормативных затрат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имущества, осуществляется исходя из следующих подгрупп затрат:
затраты на оплату типографских работ и услуг, включая приобретение периодических печатных изданий;
затраты на оплату услуг лиц, привлекаемых на основании гражданско-правовых договоров;
затраты на проведение диспансеризации работников;
затраты на оплату услуг вневедомственной охраны;
затраты на оплату охранных услуг: экстренный вызов наряда полиции на объект;
затраты на оплату труда независимых экспертов;
затраты по архивной обработке и уничтожению документов; 
затраты на изготовление презентационных материалов;
затраты на страхование лифтов;
затраты на участие в семинарах и консультационно-информационные услуги;
затраты на утилизацию пришедшего в негодность имущества;
затраты на прочие работы и услуги;
</t>
  </si>
  <si>
    <t>Расчет нормативных затрат оплату типографских работ и услуг, включая приобретение периодических печатных изданий осуществляется исходя из следующих подгрупп затрат:
затраты на приобретение периодических печатных изданий;
затраты на оплату типографических работ и услуг
затраты на страхование имущества.</t>
  </si>
  <si>
    <t>Расчет нормативных затрат на приобретение материальных запасов, не отнесенных к затратам, указанным в подпунктах «а» - «ж» пункта 6 Общих правил, осуществляется исходя из следующих подгрупп затрат:
затраты на приобретение бланочной продукции;
затраты на приобретение канцелярских принадлежностей;
затраты на приобретение хозяйственных товаров и принадлежностей:
затраты на приобретение иных материальных запасов.
затраты на горюче-смазочные материалы;
затраты на бумагу.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</si>
</sst>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#,##0\ _₽"/>
    <numFmt numFmtId="166" formatCode="0.0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Fill="1" applyBorder="1" applyAlignment="1">
      <alignment vertical="center" wrapText="1" shrinkToFit="1"/>
    </xf>
    <xf numFmtId="164" fontId="1" fillId="0" borderId="0" xfId="0" applyNumberFormat="1" applyFont="1" applyFill="1" applyAlignment="1">
      <alignment horizontal="center" shrinkToFit="1"/>
    </xf>
    <xf numFmtId="164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vertical="top" shrinkToFit="1"/>
    </xf>
    <xf numFmtId="0" fontId="1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1" fillId="0" borderId="0" xfId="0" applyFont="1" applyFill="1" applyAlignment="1">
      <alignment horizontal="right" shrinkToFit="1"/>
    </xf>
    <xf numFmtId="4" fontId="2" fillId="0" borderId="0" xfId="0" applyNumberFormat="1" applyFont="1" applyFill="1" applyAlignment="1">
      <alignment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 shrinkToFit="1"/>
    </xf>
    <xf numFmtId="4" fontId="1" fillId="0" borderId="0" xfId="0" applyNumberFormat="1" applyFont="1" applyFill="1" applyAlignment="1">
      <alignment shrinkToFit="1"/>
    </xf>
    <xf numFmtId="16" fontId="1" fillId="0" borderId="0" xfId="0" applyNumberFormat="1" applyFont="1" applyFill="1" applyAlignment="1">
      <alignment shrinkToFit="1"/>
    </xf>
    <xf numFmtId="0" fontId="1" fillId="0" borderId="1" xfId="1" applyNumberFormat="1" applyFont="1" applyFill="1" applyBorder="1" applyAlignment="1">
      <alignment horizontal="center" vertical="center" shrinkToFit="1"/>
    </xf>
    <xf numFmtId="2" fontId="1" fillId="0" borderId="0" xfId="0" applyNumberFormat="1" applyFont="1" applyFill="1" applyAlignment="1">
      <alignment horizontal="center" vertical="center" shrinkToFit="1"/>
    </xf>
    <xf numFmtId="166" fontId="1" fillId="0" borderId="0" xfId="0" applyNumberFormat="1" applyFont="1" applyFill="1" applyAlignment="1">
      <alignment horizontal="center" vertical="center" shrinkToFit="1"/>
    </xf>
    <xf numFmtId="164" fontId="6" fillId="0" borderId="1" xfId="0" applyNumberFormat="1" applyFont="1" applyFill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164" fontId="7" fillId="0" borderId="1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 shrinkToFit="1"/>
    </xf>
    <xf numFmtId="167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vertical="center" wrapText="1" shrinkToFit="1"/>
    </xf>
    <xf numFmtId="0" fontId="1" fillId="0" borderId="4" xfId="0" applyFont="1" applyFill="1" applyBorder="1" applyAlignment="1">
      <alignment horizontal="center" shrinkToFit="1"/>
    </xf>
    <xf numFmtId="0" fontId="1" fillId="0" borderId="5" xfId="0" applyFont="1" applyFill="1" applyBorder="1" applyAlignment="1">
      <alignment shrinkToFit="1"/>
    </xf>
    <xf numFmtId="0" fontId="1" fillId="0" borderId="6" xfId="0" applyFont="1" applyFill="1" applyBorder="1" applyAlignment="1">
      <alignment shrinkToFit="1"/>
    </xf>
    <xf numFmtId="0" fontId="1" fillId="0" borderId="6" xfId="0" applyFont="1" applyFill="1" applyBorder="1" applyAlignment="1">
      <alignment vertical="center" wrapText="1" shrinkToFit="1"/>
    </xf>
    <xf numFmtId="165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top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164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top" wrapText="1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3" fillId="0" borderId="0" xfId="0" applyFont="1" applyFill="1" applyAlignment="1">
      <alignment horizontal="center" vertical="center" wrapText="1" shrinkToFit="1"/>
    </xf>
    <xf numFmtId="49" fontId="4" fillId="0" borderId="0" xfId="0" applyNumberFormat="1" applyFont="1" applyFill="1" applyAlignment="1">
      <alignment horizontal="center" vertical="center" wrapText="1" shrinkToFit="1"/>
    </xf>
    <xf numFmtId="49" fontId="1" fillId="0" borderId="0" xfId="0" applyNumberFormat="1" applyFont="1" applyFill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164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204107</xdr:colOff>
      <xdr:row>51</xdr:row>
      <xdr:rowOff>408214</xdr:rowOff>
    </xdr:from>
    <xdr:to>
      <xdr:col>5</xdr:col>
      <xdr:colOff>2664732</xdr:colOff>
      <xdr:row>51</xdr:row>
      <xdr:rowOff>1059089</xdr:rowOff>
    </xdr:to>
    <xdr:pic>
      <xdr:nvPicPr>
        <xdr:cNvPr id="3" name="Рисунок 2" descr="base_25_210560_32774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357" y="102189643"/>
          <a:ext cx="246062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67"/>
  <sheetViews>
    <sheetView tabSelected="1" topLeftCell="A2" zoomScale="70" zoomScaleNormal="70" workbookViewId="0">
      <selection activeCell="C53" sqref="C53"/>
    </sheetView>
  </sheetViews>
  <sheetFormatPr defaultColWidth="9.140625" defaultRowHeight="15.75" outlineLevelRow="1" outlineLevelCol="1" x14ac:dyDescent="0.25"/>
  <cols>
    <col min="1" max="1" width="9.5703125" style="5" customWidth="1"/>
    <col min="2" max="2" width="69.5703125" style="6" customWidth="1"/>
    <col min="3" max="3" width="13.5703125" style="2" customWidth="1"/>
    <col min="4" max="4" width="14.85546875" style="2" customWidth="1"/>
    <col min="5" max="5" width="13.5703125" style="2" customWidth="1"/>
    <col min="6" max="6" width="99.140625" style="7" customWidth="1"/>
    <col min="7" max="7" width="74.7109375" style="8" hidden="1" customWidth="1" outlineLevel="1"/>
    <col min="8" max="8" width="9.140625" style="8" collapsed="1"/>
    <col min="9" max="11" width="9.140625" style="9"/>
    <col min="12" max="16384" width="9.140625" style="8"/>
  </cols>
  <sheetData>
    <row r="1" spans="1:11" ht="75.95" hidden="1" customHeight="1" outlineLevel="1" x14ac:dyDescent="0.25">
      <c r="C1" s="2" t="e">
        <f>C9+C16</f>
        <v>#REF!</v>
      </c>
      <c r="D1" s="2" t="e">
        <f>D9+D16</f>
        <v>#REF!</v>
      </c>
      <c r="E1" s="2" t="e">
        <f>E9+E16</f>
        <v>#REF!</v>
      </c>
    </row>
    <row r="2" spans="1:11" ht="75.95" customHeight="1" outlineLevel="1" x14ac:dyDescent="0.25">
      <c r="F2" s="6" t="s">
        <v>194</v>
      </c>
      <c r="G2" s="6"/>
    </row>
    <row r="3" spans="1:11" ht="57.75" customHeight="1" x14ac:dyDescent="0.25">
      <c r="A3" s="39" t="s">
        <v>206</v>
      </c>
      <c r="B3" s="39"/>
      <c r="C3" s="39"/>
      <c r="D3" s="39"/>
      <c r="E3" s="39"/>
      <c r="F3" s="39"/>
      <c r="G3" s="26"/>
    </row>
    <row r="4" spans="1:11" ht="44.25" customHeight="1" x14ac:dyDescent="0.25">
      <c r="A4" s="40" t="s">
        <v>111</v>
      </c>
      <c r="B4" s="41"/>
      <c r="C4" s="41"/>
      <c r="D4" s="41"/>
      <c r="E4" s="41"/>
      <c r="F4" s="41"/>
    </row>
    <row r="5" spans="1:11" ht="15.75" customHeight="1" thickBot="1" x14ac:dyDescent="0.3">
      <c r="F5" s="10" t="s">
        <v>112</v>
      </c>
    </row>
    <row r="6" spans="1:11" ht="30" customHeight="1" x14ac:dyDescent="0.25">
      <c r="A6" s="42" t="s">
        <v>97</v>
      </c>
      <c r="B6" s="43" t="s">
        <v>0</v>
      </c>
      <c r="C6" s="44" t="s">
        <v>205</v>
      </c>
      <c r="D6" s="44"/>
      <c r="E6" s="44"/>
      <c r="F6" s="45" t="s">
        <v>1</v>
      </c>
      <c r="G6" s="37"/>
    </row>
    <row r="7" spans="1:11" ht="30" customHeight="1" x14ac:dyDescent="0.25">
      <c r="A7" s="42"/>
      <c r="B7" s="43"/>
      <c r="C7" s="16" t="s">
        <v>208</v>
      </c>
      <c r="D7" s="16" t="s">
        <v>209</v>
      </c>
      <c r="E7" s="16" t="s">
        <v>210</v>
      </c>
      <c r="F7" s="45"/>
      <c r="G7" s="38"/>
    </row>
    <row r="8" spans="1:11" ht="15" customHeight="1" thickBot="1" x14ac:dyDescent="0.3">
      <c r="A8" s="4">
        <v>1</v>
      </c>
      <c r="B8" s="25">
        <v>4</v>
      </c>
      <c r="C8" s="31">
        <v>3</v>
      </c>
      <c r="D8" s="31">
        <v>4</v>
      </c>
      <c r="E8" s="31">
        <v>5</v>
      </c>
      <c r="F8" s="32">
        <v>6</v>
      </c>
      <c r="G8" s="27">
        <v>9</v>
      </c>
    </row>
    <row r="9" spans="1:11" ht="133.5" customHeight="1" x14ac:dyDescent="0.25">
      <c r="A9" s="33">
        <v>1</v>
      </c>
      <c r="B9" s="34" t="s">
        <v>2</v>
      </c>
      <c r="C9" s="35">
        <f>C10+C12</f>
        <v>5389.2764025300003</v>
      </c>
      <c r="D9" s="35">
        <f t="shared" ref="D9" si="0">D10+D12</f>
        <v>5620.9778412387896</v>
      </c>
      <c r="E9" s="35">
        <f>E10+E12</f>
        <v>5857.0452329708187</v>
      </c>
      <c r="F9" s="36" t="s">
        <v>211</v>
      </c>
      <c r="G9" s="28"/>
      <c r="I9" s="11"/>
      <c r="J9" s="11"/>
      <c r="K9" s="11"/>
    </row>
    <row r="10" spans="1:11" ht="57.75" customHeight="1" x14ac:dyDescent="0.25">
      <c r="A10" s="4" t="s">
        <v>110</v>
      </c>
      <c r="B10" s="1" t="s">
        <v>5</v>
      </c>
      <c r="C10" s="19">
        <f>C11</f>
        <v>3282.49507653</v>
      </c>
      <c r="D10" s="19">
        <f>D11</f>
        <v>3423.6423648207897</v>
      </c>
      <c r="E10" s="19">
        <f>E11</f>
        <v>3567.4353441432631</v>
      </c>
      <c r="F10" s="36" t="s">
        <v>6</v>
      </c>
      <c r="G10" s="29"/>
    </row>
    <row r="11" spans="1:11" ht="195.4" customHeight="1" x14ac:dyDescent="0.25">
      <c r="A11" s="4" t="s">
        <v>50</v>
      </c>
      <c r="B11" s="1" t="s">
        <v>116</v>
      </c>
      <c r="C11" s="3">
        <f>3153213.33/1000*C64</f>
        <v>3282.49507653</v>
      </c>
      <c r="D11" s="3">
        <f>C11*D65</f>
        <v>3423.6423648207897</v>
      </c>
      <c r="E11" s="3">
        <f>D11*E66</f>
        <v>3567.4353441432631</v>
      </c>
      <c r="F11" s="36" t="s">
        <v>171</v>
      </c>
      <c r="G11" s="30" t="s">
        <v>195</v>
      </c>
    </row>
    <row r="12" spans="1:11" ht="109.5" customHeight="1" x14ac:dyDescent="0.25">
      <c r="A12" s="4" t="s">
        <v>51</v>
      </c>
      <c r="B12" s="1" t="s">
        <v>7</v>
      </c>
      <c r="C12" s="20">
        <f>C13+C14+C15</f>
        <v>2106.7813260000003</v>
      </c>
      <c r="D12" s="20">
        <f>D13+D14+D15</f>
        <v>2197.3354764179999</v>
      </c>
      <c r="E12" s="20">
        <f>E13+E14+E15</f>
        <v>2289.609888827556</v>
      </c>
      <c r="F12" s="36" t="s">
        <v>135</v>
      </c>
      <c r="G12" s="29"/>
    </row>
    <row r="13" spans="1:11" ht="149.25" hidden="1" customHeight="1" outlineLevel="1" x14ac:dyDescent="0.25">
      <c r="A13" s="4" t="s">
        <v>53</v>
      </c>
      <c r="B13" s="1" t="s">
        <v>8</v>
      </c>
      <c r="C13" s="3"/>
      <c r="D13" s="3"/>
      <c r="E13" s="3"/>
      <c r="F13" s="36" t="s">
        <v>170</v>
      </c>
      <c r="G13" s="29"/>
    </row>
    <row r="14" spans="1:11" ht="174.75" customHeight="1" collapsed="1" x14ac:dyDescent="0.25">
      <c r="A14" s="4" t="s">
        <v>52</v>
      </c>
      <c r="B14" s="1" t="s">
        <v>9</v>
      </c>
      <c r="C14" s="3">
        <f>161.686*1.041</f>
        <v>168.31512599999999</v>
      </c>
      <c r="D14" s="3">
        <f>C14*D65</f>
        <v>175.55267641799998</v>
      </c>
      <c r="E14" s="3">
        <f>D14*E66</f>
        <v>182.92588882755598</v>
      </c>
      <c r="F14" s="36" t="s">
        <v>178</v>
      </c>
      <c r="G14" s="30" t="s">
        <v>137</v>
      </c>
    </row>
    <row r="15" spans="1:11" ht="189" customHeight="1" x14ac:dyDescent="0.25">
      <c r="A15" s="4" t="s">
        <v>115</v>
      </c>
      <c r="B15" s="1" t="s">
        <v>138</v>
      </c>
      <c r="C15" s="3">
        <f>278*23243/5*1.5/1000</f>
        <v>1938.4662000000003</v>
      </c>
      <c r="D15" s="3">
        <f>278*24242/5*1.5/1000</f>
        <v>2021.7827999999997</v>
      </c>
      <c r="E15" s="3">
        <f>278*25260/5*1.5/1000</f>
        <v>2106.6840000000002</v>
      </c>
      <c r="F15" s="36" t="s">
        <v>198</v>
      </c>
      <c r="G15" s="30" t="s">
        <v>131</v>
      </c>
    </row>
    <row r="16" spans="1:11" ht="201.75" customHeight="1" x14ac:dyDescent="0.25">
      <c r="A16" s="12" t="s">
        <v>54</v>
      </c>
      <c r="B16" s="13" t="s">
        <v>98</v>
      </c>
      <c r="C16" s="21" t="e">
        <f>SUM(C17,C20,C21,C26,C39,C51,C56)</f>
        <v>#REF!</v>
      </c>
      <c r="D16" s="21" t="e">
        <f>SUM(D17,D20,D21,D26,D39,D51,D56)</f>
        <v>#REF!</v>
      </c>
      <c r="E16" s="21" t="e">
        <f>SUM(E17,E20,E21,E26,E39,E51,E56)</f>
        <v>#REF!</v>
      </c>
      <c r="F16" s="36" t="s">
        <v>212</v>
      </c>
      <c r="G16" s="29"/>
      <c r="H16" s="14"/>
    </row>
    <row r="17" spans="1:8" ht="65.099999999999994" customHeight="1" x14ac:dyDescent="0.25">
      <c r="A17" s="4" t="s">
        <v>55</v>
      </c>
      <c r="B17" s="1" t="s">
        <v>3</v>
      </c>
      <c r="C17" s="3">
        <f>C18+C19</f>
        <v>150.82</v>
      </c>
      <c r="D17" s="3">
        <f t="shared" ref="D17:E17" si="1">D18+D19</f>
        <v>157.30526</v>
      </c>
      <c r="E17" s="3">
        <f t="shared" si="1"/>
        <v>163.91208091999999</v>
      </c>
      <c r="F17" s="36" t="s">
        <v>100</v>
      </c>
      <c r="G17" s="30"/>
    </row>
    <row r="18" spans="1:8" ht="189.75" customHeight="1" x14ac:dyDescent="0.25">
      <c r="A18" s="4" t="s">
        <v>56</v>
      </c>
      <c r="B18" s="1" t="s">
        <v>10</v>
      </c>
      <c r="C18" s="3">
        <v>130</v>
      </c>
      <c r="D18" s="3">
        <f>C18*D65</f>
        <v>135.59</v>
      </c>
      <c r="E18" s="3">
        <f>D18*E66</f>
        <v>141.28478000000001</v>
      </c>
      <c r="F18" s="36" t="s">
        <v>179</v>
      </c>
      <c r="G18" s="30" t="s">
        <v>139</v>
      </c>
    </row>
    <row r="19" spans="1:8" ht="183.75" customHeight="1" x14ac:dyDescent="0.25">
      <c r="A19" s="4" t="s">
        <v>57</v>
      </c>
      <c r="B19" s="1" t="s">
        <v>11</v>
      </c>
      <c r="C19" s="3">
        <f>20*C64</f>
        <v>20.82</v>
      </c>
      <c r="D19" s="3">
        <f>C19*D65</f>
        <v>21.715259999999997</v>
      </c>
      <c r="E19" s="3">
        <f>D19*E66</f>
        <v>22.627300919999996</v>
      </c>
      <c r="F19" s="36" t="s">
        <v>196</v>
      </c>
      <c r="G19" s="30" t="s">
        <v>140</v>
      </c>
    </row>
    <row r="20" spans="1:8" ht="148.5" customHeight="1" x14ac:dyDescent="0.25">
      <c r="A20" s="4" t="s">
        <v>58</v>
      </c>
      <c r="B20" s="1" t="s">
        <v>12</v>
      </c>
      <c r="C20" s="3">
        <v>4015.9</v>
      </c>
      <c r="D20" s="3">
        <v>4133</v>
      </c>
      <c r="E20" s="3">
        <v>4252.3</v>
      </c>
      <c r="F20" s="36" t="s">
        <v>180</v>
      </c>
      <c r="G20" s="30" t="s">
        <v>197</v>
      </c>
    </row>
    <row r="21" spans="1:8" ht="93.75" customHeight="1" x14ac:dyDescent="0.25">
      <c r="A21" s="4" t="s">
        <v>59</v>
      </c>
      <c r="B21" s="1" t="s">
        <v>13</v>
      </c>
      <c r="C21" s="19">
        <f>SUM(C22:C24,C25)</f>
        <v>30718.437599999997</v>
      </c>
      <c r="D21" s="19">
        <f t="shared" ref="D21:E21" si="2">SUM(D22:D23,D25)</f>
        <v>30029.6763168</v>
      </c>
      <c r="E21" s="19">
        <f t="shared" si="2"/>
        <v>30155.865282105598</v>
      </c>
      <c r="F21" s="36" t="s">
        <v>101</v>
      </c>
      <c r="G21" s="29"/>
    </row>
    <row r="22" spans="1:8" ht="134.25" customHeight="1" x14ac:dyDescent="0.25">
      <c r="A22" s="4" t="s">
        <v>60</v>
      </c>
      <c r="B22" s="1" t="s">
        <v>14</v>
      </c>
      <c r="C22" s="3">
        <f>550*1006*12/1000</f>
        <v>6639.6</v>
      </c>
      <c r="D22" s="3">
        <f>550*1049*12/1000</f>
        <v>6923.4</v>
      </c>
      <c r="E22" s="3">
        <f>550*1093*12/1000</f>
        <v>7213.8</v>
      </c>
      <c r="F22" s="36" t="s">
        <v>102</v>
      </c>
      <c r="G22" s="30" t="s">
        <v>132</v>
      </c>
    </row>
    <row r="23" spans="1:8" ht="296.25" customHeight="1" x14ac:dyDescent="0.25">
      <c r="A23" s="4" t="s">
        <v>61</v>
      </c>
      <c r="B23" s="1" t="s">
        <v>113</v>
      </c>
      <c r="C23" s="3">
        <f>11*690*12*249/1000</f>
        <v>22678.92</v>
      </c>
      <c r="D23" s="3">
        <f>11*690*12*249/1000</f>
        <v>22678.92</v>
      </c>
      <c r="E23" s="3">
        <f>11*690*12*247/1000</f>
        <v>22496.76</v>
      </c>
      <c r="F23" s="36" t="s">
        <v>199</v>
      </c>
      <c r="G23" s="30" t="s">
        <v>133</v>
      </c>
    </row>
    <row r="24" spans="1:8" ht="186" customHeight="1" x14ac:dyDescent="0.25">
      <c r="A24" s="4" t="s">
        <v>62</v>
      </c>
      <c r="B24" s="1" t="s">
        <v>120</v>
      </c>
      <c r="C24" s="3">
        <f>3*5501*60/1000</f>
        <v>990.18</v>
      </c>
      <c r="D24" s="3">
        <f>3*5738*60/1000</f>
        <v>1032.8399999999999</v>
      </c>
      <c r="E24" s="3">
        <f>3*5979*60/1000</f>
        <v>1076.22</v>
      </c>
      <c r="F24" s="36" t="s">
        <v>134</v>
      </c>
      <c r="G24" s="30" t="s">
        <v>122</v>
      </c>
    </row>
    <row r="25" spans="1:8" ht="73.7" customHeight="1" x14ac:dyDescent="0.25">
      <c r="A25" s="4" t="s">
        <v>121</v>
      </c>
      <c r="B25" s="1" t="s">
        <v>114</v>
      </c>
      <c r="C25" s="3">
        <f>393.6*1.041</f>
        <v>409.73759999999999</v>
      </c>
      <c r="D25" s="3">
        <f>C25*D65</f>
        <v>427.35631679999995</v>
      </c>
      <c r="E25" s="3">
        <f>D25*E66</f>
        <v>445.30528210559999</v>
      </c>
      <c r="F25" s="36" t="s">
        <v>15</v>
      </c>
      <c r="G25" s="30" t="s">
        <v>136</v>
      </c>
    </row>
    <row r="26" spans="1:8" ht="249" customHeight="1" x14ac:dyDescent="0.25">
      <c r="A26" s="4" t="s">
        <v>63</v>
      </c>
      <c r="B26" s="1" t="s">
        <v>4</v>
      </c>
      <c r="C26" s="19">
        <f>SUM(C27,C28,C29,C30,C31,C32,C33,C34,C35,C36,C37,C38)</f>
        <v>19341.284410078995</v>
      </c>
      <c r="D26" s="19">
        <f t="shared" ref="D26:E26" si="3">SUM(D27,D28,D29,D30,D31,D32,D33,D34,D35,D36,D37,D38)</f>
        <v>20169.577854912393</v>
      </c>
      <c r="E26" s="19">
        <f t="shared" si="3"/>
        <v>20993.689989660754</v>
      </c>
      <c r="F26" s="36" t="s">
        <v>103</v>
      </c>
      <c r="G26" s="29"/>
    </row>
    <row r="27" spans="1:8" ht="175.5" customHeight="1" x14ac:dyDescent="0.25">
      <c r="A27" s="4" t="s">
        <v>64</v>
      </c>
      <c r="B27" s="1" t="s">
        <v>16</v>
      </c>
      <c r="C27" s="3">
        <f>1049.9*C64</f>
        <v>1092.9458999999999</v>
      </c>
      <c r="D27" s="3">
        <f>C27*D65</f>
        <v>1139.9425736999999</v>
      </c>
      <c r="E27" s="3">
        <f>D27*E66</f>
        <v>1187.8201617954001</v>
      </c>
      <c r="F27" s="36" t="s">
        <v>177</v>
      </c>
      <c r="G27" s="30" t="s">
        <v>152</v>
      </c>
    </row>
    <row r="28" spans="1:8" ht="149.25" customHeight="1" x14ac:dyDescent="0.25">
      <c r="A28" s="4" t="s">
        <v>65</v>
      </c>
      <c r="B28" s="1" t="s">
        <v>17</v>
      </c>
      <c r="C28" s="3">
        <f>(73350+81045.8)/1000*C64</f>
        <v>160.72602779999997</v>
      </c>
      <c r="D28" s="3">
        <f>C28*D65</f>
        <v>167.63724699539995</v>
      </c>
      <c r="E28" s="3">
        <f>D28*E66</f>
        <v>174.67801136920676</v>
      </c>
      <c r="F28" s="36" t="s">
        <v>172</v>
      </c>
      <c r="G28" s="30" t="s">
        <v>151</v>
      </c>
    </row>
    <row r="29" spans="1:8" ht="135.75" customHeight="1" x14ac:dyDescent="0.25">
      <c r="A29" s="4" t="s">
        <v>66</v>
      </c>
      <c r="B29" s="1" t="s">
        <v>18</v>
      </c>
      <c r="C29" s="3">
        <f>14.4*C64</f>
        <v>14.990399999999999</v>
      </c>
      <c r="D29" s="3">
        <f>C29*D65</f>
        <v>15.634987199999998</v>
      </c>
      <c r="E29" s="3">
        <f>D29*E66</f>
        <v>16.291656662399998</v>
      </c>
      <c r="F29" s="36" t="s">
        <v>176</v>
      </c>
      <c r="G29" s="30" t="s">
        <v>154</v>
      </c>
      <c r="H29" s="15"/>
    </row>
    <row r="30" spans="1:8" ht="183.75" customHeight="1" x14ac:dyDescent="0.25">
      <c r="A30" s="4" t="s">
        <v>67</v>
      </c>
      <c r="B30" s="1" t="s">
        <v>19</v>
      </c>
      <c r="C30" s="3">
        <f>4463.33*12/1000</f>
        <v>53.559959999999997</v>
      </c>
      <c r="D30" s="3">
        <f>C30*D65</f>
        <v>55.863038279999991</v>
      </c>
      <c r="E30" s="3">
        <f>D30*E66</f>
        <v>58.209285887759989</v>
      </c>
      <c r="F30" s="36" t="s">
        <v>200</v>
      </c>
      <c r="G30" s="30" t="s">
        <v>153</v>
      </c>
    </row>
    <row r="31" spans="1:8" ht="116.65" customHeight="1" x14ac:dyDescent="0.25">
      <c r="A31" s="4" t="s">
        <v>68</v>
      </c>
      <c r="B31" s="1" t="s">
        <v>20</v>
      </c>
      <c r="C31" s="3">
        <f>3153052.74*C64/1000</f>
        <v>3282.32790234</v>
      </c>
      <c r="D31" s="3">
        <f>C31*D65</f>
        <v>3423.4680021406198</v>
      </c>
      <c r="E31" s="3">
        <f>D31*E66</f>
        <v>3567.2536582305261</v>
      </c>
      <c r="F31" s="36" t="s">
        <v>104</v>
      </c>
      <c r="G31" s="30" t="s">
        <v>150</v>
      </c>
    </row>
    <row r="32" spans="1:8" ht="138.75" customHeight="1" x14ac:dyDescent="0.25">
      <c r="A32" s="4" t="s">
        <v>69</v>
      </c>
      <c r="B32" s="1" t="s">
        <v>21</v>
      </c>
      <c r="C32" s="3">
        <f>239707.8/1000*C64</f>
        <v>249.53581979999998</v>
      </c>
      <c r="D32" s="3">
        <f>C32*D65</f>
        <v>260.26586005139995</v>
      </c>
      <c r="E32" s="3">
        <f>D32*E66</f>
        <v>271.19702617355875</v>
      </c>
      <c r="F32" s="36" t="s">
        <v>173</v>
      </c>
      <c r="G32" s="30" t="s">
        <v>155</v>
      </c>
    </row>
    <row r="33" spans="1:7" ht="152.25" customHeight="1" x14ac:dyDescent="0.25">
      <c r="A33" s="4" t="s">
        <v>70</v>
      </c>
      <c r="B33" s="1" t="s">
        <v>22</v>
      </c>
      <c r="C33" s="3">
        <f>34.17*1489.7/1000*C64</f>
        <v>52.990074008999997</v>
      </c>
      <c r="D33" s="3">
        <f>C33*D65</f>
        <v>55.268647191386997</v>
      </c>
      <c r="E33" s="3">
        <f>D33*E66</f>
        <v>57.589930373425254</v>
      </c>
      <c r="F33" s="36" t="s">
        <v>174</v>
      </c>
      <c r="G33" s="30" t="s">
        <v>156</v>
      </c>
    </row>
    <row r="34" spans="1:7" ht="165" customHeight="1" x14ac:dyDescent="0.25">
      <c r="A34" s="4" t="s">
        <v>71</v>
      </c>
      <c r="B34" s="1" t="s">
        <v>23</v>
      </c>
      <c r="C34" s="3">
        <f>107815*4/1000*C64</f>
        <v>448.94165999999996</v>
      </c>
      <c r="D34" s="3">
        <f>C34*D65</f>
        <v>468.2461513799999</v>
      </c>
      <c r="E34" s="3">
        <f t="shared" ref="E34" si="4">D34</f>
        <v>468.2461513799999</v>
      </c>
      <c r="F34" s="36" t="s">
        <v>181</v>
      </c>
      <c r="G34" s="30" t="s">
        <v>157</v>
      </c>
    </row>
    <row r="35" spans="1:7" ht="177.75" customHeight="1" x14ac:dyDescent="0.25">
      <c r="A35" s="4" t="s">
        <v>72</v>
      </c>
      <c r="B35" s="1" t="s">
        <v>24</v>
      </c>
      <c r="C35" s="3">
        <f>(13117.8*12+50*82+150*30)/1000</f>
        <v>166.01359999999997</v>
      </c>
      <c r="D35" s="3">
        <f>(13399.2*12+50*86+156*30)/1000</f>
        <v>169.77040000000002</v>
      </c>
      <c r="E35" s="3">
        <f>(13680.58*12+50*90+163*30)/1000</f>
        <v>173.55696</v>
      </c>
      <c r="F35" s="36" t="s">
        <v>201</v>
      </c>
      <c r="G35" s="30" t="s">
        <v>149</v>
      </c>
    </row>
    <row r="36" spans="1:7" ht="162" customHeight="1" x14ac:dyDescent="0.25">
      <c r="A36" s="4" t="s">
        <v>73</v>
      </c>
      <c r="B36" s="1" t="s">
        <v>25</v>
      </c>
      <c r="C36" s="3">
        <f>503974.08*C64/1000</f>
        <v>524.63701728000001</v>
      </c>
      <c r="D36" s="3">
        <f>C36*D65</f>
        <v>547.19640902304002</v>
      </c>
      <c r="E36" s="3">
        <f>D36*E66</f>
        <v>570.17865820200768</v>
      </c>
      <c r="F36" s="36" t="s">
        <v>202</v>
      </c>
      <c r="G36" s="30" t="s">
        <v>158</v>
      </c>
    </row>
    <row r="37" spans="1:7" ht="135" customHeight="1" x14ac:dyDescent="0.25">
      <c r="A37" s="4" t="s">
        <v>74</v>
      </c>
      <c r="B37" s="1" t="s">
        <v>26</v>
      </c>
      <c r="C37" s="3">
        <f>1285.39*180/1000*1.041</f>
        <v>240.85637819999999</v>
      </c>
      <c r="D37" s="3">
        <f>C37*D65</f>
        <v>251.21320246259998</v>
      </c>
      <c r="E37" s="3">
        <f>D37*E66</f>
        <v>261.76415696602919</v>
      </c>
      <c r="F37" s="36" t="s">
        <v>203</v>
      </c>
      <c r="G37" s="30" t="s">
        <v>159</v>
      </c>
    </row>
    <row r="38" spans="1:7" ht="183.75" customHeight="1" x14ac:dyDescent="0.25">
      <c r="A38" s="4" t="s">
        <v>75</v>
      </c>
      <c r="B38" s="1" t="s">
        <v>27</v>
      </c>
      <c r="C38" s="22">
        <f>(41000*12+22833.33*12+31878*6+98916.67*2*12+499750*12+1348069.61+44887+1818410)/1000*C64</f>
        <v>13053.759670649997</v>
      </c>
      <c r="D38" s="22">
        <f>C38*D65</f>
        <v>13615.071336487947</v>
      </c>
      <c r="E38" s="22">
        <f>D38*E66</f>
        <v>14186.904332620441</v>
      </c>
      <c r="F38" s="36" t="s">
        <v>182</v>
      </c>
      <c r="G38" s="30" t="s">
        <v>160</v>
      </c>
    </row>
    <row r="39" spans="1:7" ht="294.75" customHeight="1" x14ac:dyDescent="0.25">
      <c r="A39" s="4" t="s">
        <v>76</v>
      </c>
      <c r="B39" s="1" t="s">
        <v>28</v>
      </c>
      <c r="C39" s="19" t="e">
        <f>SUM(C40,C43,C44,C45,#REF!,#REF!,C46,#REF!,#REF!,C47,C48,C49)+C50</f>
        <v>#REF!</v>
      </c>
      <c r="D39" s="19" t="e">
        <f>SUM(D40,D43,D44,D45,#REF!,#REF!,D46,#REF!,#REF!,D47,D48,D49)+D50</f>
        <v>#REF!</v>
      </c>
      <c r="E39" s="19" t="e">
        <f>SUM(E40,E43,E44,E45,#REF!,#REF!,E46,#REF!,#REF!,E47,E48,E49)+E50</f>
        <v>#REF!</v>
      </c>
      <c r="F39" s="36" t="s">
        <v>213</v>
      </c>
      <c r="G39" s="29"/>
    </row>
    <row r="40" spans="1:7" ht="85.5" customHeight="1" x14ac:dyDescent="0.25">
      <c r="A40" s="4" t="s">
        <v>77</v>
      </c>
      <c r="B40" s="1" t="s">
        <v>29</v>
      </c>
      <c r="C40" s="3">
        <f>SUM(C41,C42)</f>
        <v>612.49799999999993</v>
      </c>
      <c r="D40" s="3">
        <f>C40</f>
        <v>612.49799999999993</v>
      </c>
      <c r="E40" s="3">
        <f>C40</f>
        <v>612.49799999999993</v>
      </c>
      <c r="F40" s="36" t="s">
        <v>214</v>
      </c>
      <c r="G40" s="30"/>
    </row>
    <row r="41" spans="1:7" ht="184.5" customHeight="1" x14ac:dyDescent="0.25">
      <c r="A41" s="4" t="s">
        <v>30</v>
      </c>
      <c r="B41" s="1" t="s">
        <v>31</v>
      </c>
      <c r="C41" s="3">
        <f>168*278*12/1000</f>
        <v>560.44799999999998</v>
      </c>
      <c r="D41" s="3">
        <f>175*278*12/1000</f>
        <v>583.79999999999995</v>
      </c>
      <c r="E41" s="3">
        <f>182*278*12/1000</f>
        <v>607.15200000000004</v>
      </c>
      <c r="F41" s="36" t="s">
        <v>204</v>
      </c>
      <c r="G41" s="30" t="s">
        <v>123</v>
      </c>
    </row>
    <row r="42" spans="1:7" ht="171" customHeight="1" x14ac:dyDescent="0.25">
      <c r="A42" s="4" t="s">
        <v>32</v>
      </c>
      <c r="B42" s="1" t="s">
        <v>33</v>
      </c>
      <c r="C42" s="3">
        <f>50*1.041</f>
        <v>52.05</v>
      </c>
      <c r="D42" s="3">
        <f>C42*D65</f>
        <v>54.288149999999995</v>
      </c>
      <c r="E42" s="3">
        <f>D42*E66</f>
        <v>56.568252299999997</v>
      </c>
      <c r="F42" s="36" t="s">
        <v>183</v>
      </c>
      <c r="G42" s="30" t="s">
        <v>148</v>
      </c>
    </row>
    <row r="43" spans="1:7" ht="150" customHeight="1" x14ac:dyDescent="0.25">
      <c r="A43" s="4" t="s">
        <v>78</v>
      </c>
      <c r="B43" s="1" t="s">
        <v>34</v>
      </c>
      <c r="C43" s="3">
        <f>51157.4*4*1.041/1000</f>
        <v>213.01941360000001</v>
      </c>
      <c r="D43" s="3">
        <f>C43*D65</f>
        <v>222.17924838479999</v>
      </c>
      <c r="E43" s="3">
        <f>D43*E66</f>
        <v>231.5107768169616</v>
      </c>
      <c r="F43" s="36" t="s">
        <v>184</v>
      </c>
      <c r="G43" s="30" t="s">
        <v>161</v>
      </c>
    </row>
    <row r="44" spans="1:7" ht="120.75" customHeight="1" x14ac:dyDescent="0.25">
      <c r="A44" s="4" t="s">
        <v>79</v>
      </c>
      <c r="B44" s="1" t="s">
        <v>35</v>
      </c>
      <c r="C44" s="3">
        <f>3865*12/1000</f>
        <v>46.38</v>
      </c>
      <c r="D44" s="3">
        <f>4031*12/1000</f>
        <v>48.372</v>
      </c>
      <c r="E44" s="3">
        <f>4200*12/1000</f>
        <v>50.4</v>
      </c>
      <c r="F44" s="36" t="s">
        <v>169</v>
      </c>
      <c r="G44" s="30" t="s">
        <v>124</v>
      </c>
    </row>
    <row r="45" spans="1:7" ht="156.75" customHeight="1" x14ac:dyDescent="0.25">
      <c r="A45" s="4" t="s">
        <v>80</v>
      </c>
      <c r="B45" s="1" t="s">
        <v>36</v>
      </c>
      <c r="C45" s="3">
        <f>11802806.4/1000*C64</f>
        <v>12286.721462399999</v>
      </c>
      <c r="D45" s="3">
        <f>C45*D65</f>
        <v>12815.050485283198</v>
      </c>
      <c r="E45" s="3">
        <f>D45*E66</f>
        <v>13353.282605665094</v>
      </c>
      <c r="F45" s="36" t="s">
        <v>185</v>
      </c>
      <c r="G45" s="30" t="s">
        <v>162</v>
      </c>
    </row>
    <row r="46" spans="1:7" ht="180.75" customHeight="1" x14ac:dyDescent="0.25">
      <c r="A46" s="4" t="s">
        <v>81</v>
      </c>
      <c r="B46" s="1" t="s">
        <v>37</v>
      </c>
      <c r="C46" s="3">
        <f>(733.33*104+90*104)/1000*C64</f>
        <v>89.136999119999999</v>
      </c>
      <c r="D46" s="3">
        <f>C46*D65</f>
        <v>92.969890082159992</v>
      </c>
      <c r="E46" s="3">
        <f>D46*E66</f>
        <v>96.87462546561072</v>
      </c>
      <c r="F46" s="36" t="s">
        <v>186</v>
      </c>
      <c r="G46" s="30" t="s">
        <v>163</v>
      </c>
    </row>
    <row r="47" spans="1:7" ht="202.5" customHeight="1" x14ac:dyDescent="0.25">
      <c r="A47" s="4" t="s">
        <v>82</v>
      </c>
      <c r="B47" s="1" t="s">
        <v>38</v>
      </c>
      <c r="C47" s="3">
        <f>739200/1000*1.041</f>
        <v>769.50720000000001</v>
      </c>
      <c r="D47" s="3">
        <f>C47*D65</f>
        <v>802.5960096</v>
      </c>
      <c r="E47" s="3">
        <f>D47*E66</f>
        <v>836.30504200320001</v>
      </c>
      <c r="F47" s="36" t="s">
        <v>187</v>
      </c>
      <c r="G47" s="30" t="s">
        <v>147</v>
      </c>
    </row>
    <row r="48" spans="1:7" ht="188.25" customHeight="1" x14ac:dyDescent="0.25">
      <c r="A48" s="4" t="s">
        <v>83</v>
      </c>
      <c r="B48" s="1" t="s">
        <v>39</v>
      </c>
      <c r="C48" s="3">
        <f>533.33*500/1000*C64</f>
        <v>277.59826500000003</v>
      </c>
      <c r="D48" s="3">
        <f>C48*D65</f>
        <v>289.53499039500002</v>
      </c>
      <c r="E48" s="3">
        <f>D48*E66</f>
        <v>301.69545999159004</v>
      </c>
      <c r="F48" s="36" t="s">
        <v>188</v>
      </c>
      <c r="G48" s="30" t="s">
        <v>164</v>
      </c>
    </row>
    <row r="49" spans="1:7" ht="221.65" customHeight="1" x14ac:dyDescent="0.25">
      <c r="A49" s="4" t="s">
        <v>84</v>
      </c>
      <c r="B49" s="1" t="s">
        <v>40</v>
      </c>
      <c r="C49" s="3">
        <f>(275*2000+49933.33+50000+104400)*C64/1000</f>
        <v>785.26099652999994</v>
      </c>
      <c r="D49" s="3">
        <f>C49*D65</f>
        <v>819.02721938078992</v>
      </c>
      <c r="E49" s="3">
        <f>D49*E66</f>
        <v>853.42636259478309</v>
      </c>
      <c r="F49" s="36" t="s">
        <v>189</v>
      </c>
      <c r="G49" s="30" t="s">
        <v>165</v>
      </c>
    </row>
    <row r="50" spans="1:7" ht="153" customHeight="1" x14ac:dyDescent="0.25">
      <c r="A50" s="4" t="s">
        <v>85</v>
      </c>
      <c r="B50" s="1" t="s">
        <v>125</v>
      </c>
      <c r="C50" s="23">
        <f>159020.08/1000*1.041</f>
        <v>165.53990327999998</v>
      </c>
      <c r="D50" s="3">
        <f>C50*D65</f>
        <v>172.65811912103996</v>
      </c>
      <c r="E50" s="3">
        <f>D50*E66</f>
        <v>179.90976012412364</v>
      </c>
      <c r="F50" s="36" t="s">
        <v>189</v>
      </c>
      <c r="G50" s="30" t="s">
        <v>146</v>
      </c>
    </row>
    <row r="51" spans="1:7" ht="111" customHeight="1" x14ac:dyDescent="0.25">
      <c r="A51" s="4" t="s">
        <v>86</v>
      </c>
      <c r="B51" s="1" t="s">
        <v>41</v>
      </c>
      <c r="C51" s="19">
        <f>SUM(C52,C53,C54,C55)</f>
        <v>6473.1705999999995</v>
      </c>
      <c r="D51" s="19">
        <f t="shared" ref="D51:E51" si="5">SUM(D52,D53,D54,D55)</f>
        <v>6294.7762999999995</v>
      </c>
      <c r="E51" s="19">
        <f t="shared" si="5"/>
        <v>6096.8794494999984</v>
      </c>
      <c r="F51" s="36" t="s">
        <v>105</v>
      </c>
      <c r="G51" s="29"/>
    </row>
    <row r="52" spans="1:7" ht="161.25" customHeight="1" x14ac:dyDescent="0.25">
      <c r="A52" s="4" t="s">
        <v>87</v>
      </c>
      <c r="B52" s="1" t="s">
        <v>42</v>
      </c>
      <c r="C52" s="3">
        <f>40393*278/8/1000</f>
        <v>1403.6567500000001</v>
      </c>
      <c r="D52" s="3">
        <f>42130*278/8/1000</f>
        <v>1464.0174999999999</v>
      </c>
      <c r="E52" s="3">
        <f>43899*278/8/1000</f>
        <v>1525.4902500000001</v>
      </c>
      <c r="F52" s="36" t="s">
        <v>207</v>
      </c>
      <c r="G52" s="30" t="s">
        <v>126</v>
      </c>
    </row>
    <row r="53" spans="1:7" ht="167.25" customHeight="1" x14ac:dyDescent="0.25">
      <c r="A53" s="4" t="s">
        <v>88</v>
      </c>
      <c r="B53" s="1" t="s">
        <v>43</v>
      </c>
      <c r="C53" s="3">
        <f>77.99*C64*15</f>
        <v>1217.8138499999998</v>
      </c>
      <c r="D53" s="3">
        <f>77.99*10*D65</f>
        <v>813.43569999999988</v>
      </c>
      <c r="E53" s="3">
        <f>77.99*5*E66</f>
        <v>406.3279</v>
      </c>
      <c r="F53" s="36" t="s">
        <v>190</v>
      </c>
      <c r="G53" s="30" t="s">
        <v>166</v>
      </c>
    </row>
    <row r="54" spans="1:7" ht="154.5" customHeight="1" x14ac:dyDescent="0.25">
      <c r="A54" s="4" t="s">
        <v>89</v>
      </c>
      <c r="B54" s="1" t="s">
        <v>44</v>
      </c>
      <c r="C54" s="3">
        <f>450*C64</f>
        <v>468.45</v>
      </c>
      <c r="D54" s="3">
        <f>C54*D65</f>
        <v>488.59334999999993</v>
      </c>
      <c r="E54" s="3">
        <f>C54*E66</f>
        <v>488.12490000000003</v>
      </c>
      <c r="F54" s="36" t="s">
        <v>191</v>
      </c>
      <c r="G54" s="30" t="s">
        <v>145</v>
      </c>
    </row>
    <row r="55" spans="1:7" ht="157.5" customHeight="1" x14ac:dyDescent="0.25">
      <c r="A55" s="4" t="s">
        <v>90</v>
      </c>
      <c r="B55" s="1" t="s">
        <v>45</v>
      </c>
      <c r="C55" s="3">
        <f>3250*C64</f>
        <v>3383.2499999999995</v>
      </c>
      <c r="D55" s="3">
        <f>C55*D65</f>
        <v>3528.7297499999991</v>
      </c>
      <c r="E55" s="3">
        <f>D55*E66</f>
        <v>3676.936399499999</v>
      </c>
      <c r="F55" s="36" t="s">
        <v>192</v>
      </c>
      <c r="G55" s="30" t="s">
        <v>167</v>
      </c>
    </row>
    <row r="56" spans="1:7" ht="152.25" customHeight="1" x14ac:dyDescent="0.25">
      <c r="A56" s="4" t="s">
        <v>91</v>
      </c>
      <c r="B56" s="1" t="s">
        <v>99</v>
      </c>
      <c r="C56" s="19">
        <f>SUM(C57,C58,C59,C60,C62)+C61</f>
        <v>10683.291754</v>
      </c>
      <c r="D56" s="19">
        <f>SUM(D57,D58,D59,D60,D62)+D61</f>
        <v>11137.202052421999</v>
      </c>
      <c r="E56" s="19">
        <f t="shared" ref="E56" si="6">SUM(E57,E58,E59,E60,E62)+E61</f>
        <v>11612.970102868321</v>
      </c>
      <c r="F56" s="36" t="s">
        <v>215</v>
      </c>
      <c r="G56" s="29"/>
    </row>
    <row r="57" spans="1:7" ht="207.75" customHeight="1" x14ac:dyDescent="0.25">
      <c r="A57" s="4" t="s">
        <v>92</v>
      </c>
      <c r="B57" s="1" t="s">
        <v>107</v>
      </c>
      <c r="C57" s="3">
        <f>259.9*C64</f>
        <v>270.55589999999995</v>
      </c>
      <c r="D57" s="3">
        <f>C57*D65</f>
        <v>282.18980369999991</v>
      </c>
      <c r="E57" s="3">
        <f>D57</f>
        <v>282.18980369999991</v>
      </c>
      <c r="F57" s="36" t="s">
        <v>106</v>
      </c>
      <c r="G57" s="30" t="s">
        <v>141</v>
      </c>
    </row>
    <row r="58" spans="1:7" ht="150" customHeight="1" x14ac:dyDescent="0.25">
      <c r="A58" s="4" t="s">
        <v>93</v>
      </c>
      <c r="B58" s="1" t="s">
        <v>46</v>
      </c>
      <c r="C58" s="3">
        <f>10229*278/1000</f>
        <v>2843.6619999999998</v>
      </c>
      <c r="D58" s="3">
        <f>10669*278/1000</f>
        <v>2965.982</v>
      </c>
      <c r="E58" s="3">
        <f>11117*278/1000</f>
        <v>3090.5259999999998</v>
      </c>
      <c r="F58" s="36" t="s">
        <v>108</v>
      </c>
      <c r="G58" s="30" t="s">
        <v>127</v>
      </c>
    </row>
    <row r="59" spans="1:7" ht="180.75" customHeight="1" x14ac:dyDescent="0.25">
      <c r="A59" s="4" t="s">
        <v>94</v>
      </c>
      <c r="B59" s="1" t="s">
        <v>47</v>
      </c>
      <c r="C59" s="3">
        <f>14.5*3720.5*12/1000</f>
        <v>647.36699999999996</v>
      </c>
      <c r="D59" s="3">
        <f>15*3720.5*12/1000</f>
        <v>669.69</v>
      </c>
      <c r="E59" s="3">
        <f>16*3738.03*12/1000</f>
        <v>717.70176000000004</v>
      </c>
      <c r="F59" s="36" t="s">
        <v>109</v>
      </c>
      <c r="G59" s="30" t="s">
        <v>128</v>
      </c>
    </row>
    <row r="60" spans="1:7" ht="149.65" customHeight="1" x14ac:dyDescent="0.25">
      <c r="A60" s="4" t="s">
        <v>95</v>
      </c>
      <c r="B60" s="1" t="s">
        <v>48</v>
      </c>
      <c r="C60" s="3">
        <f>4200*C64</f>
        <v>4372.2</v>
      </c>
      <c r="D60" s="3">
        <f>C60*D65</f>
        <v>4560.2045999999991</v>
      </c>
      <c r="E60" s="3">
        <f>D60*E66</f>
        <v>4751.7331931999988</v>
      </c>
      <c r="F60" s="36" t="s">
        <v>193</v>
      </c>
      <c r="G60" s="30" t="s">
        <v>142</v>
      </c>
    </row>
    <row r="61" spans="1:7" ht="149.65" customHeight="1" x14ac:dyDescent="0.25">
      <c r="A61" s="4" t="s">
        <v>96</v>
      </c>
      <c r="B61" s="1" t="s">
        <v>130</v>
      </c>
      <c r="C61" s="24">
        <f>(46.85*35000+49.87*1200)/1000*C64</f>
        <v>1769.2773539999998</v>
      </c>
      <c r="D61" s="24">
        <f>C61*D65</f>
        <v>1845.3562802219997</v>
      </c>
      <c r="E61" s="24">
        <f>D61*E66</f>
        <v>1922.8612439913238</v>
      </c>
      <c r="F61" s="36" t="s">
        <v>193</v>
      </c>
      <c r="G61" s="30" t="s">
        <v>143</v>
      </c>
    </row>
    <row r="62" spans="1:7" ht="151.35" customHeight="1" x14ac:dyDescent="0.25">
      <c r="A62" s="4" t="s">
        <v>129</v>
      </c>
      <c r="B62" s="1" t="s">
        <v>49</v>
      </c>
      <c r="C62" s="3">
        <f>749.5*C64</f>
        <v>780.22949999999992</v>
      </c>
      <c r="D62" s="3">
        <f>C62*D65</f>
        <v>813.7793684999998</v>
      </c>
      <c r="E62" s="3">
        <f>D62*E66</f>
        <v>847.95810197699984</v>
      </c>
      <c r="F62" s="36" t="s">
        <v>175</v>
      </c>
      <c r="G62" s="30" t="s">
        <v>144</v>
      </c>
    </row>
    <row r="63" spans="1:7" hidden="1" x14ac:dyDescent="0.25">
      <c r="B63" s="6" t="s">
        <v>168</v>
      </c>
      <c r="C63" s="2" t="e">
        <f>SUM(C9+C16)</f>
        <v>#REF!</v>
      </c>
      <c r="D63" s="2" t="e">
        <f>SUM(D9+D16)</f>
        <v>#REF!</v>
      </c>
      <c r="E63" s="2" t="e">
        <f>SUM(E9+E16)</f>
        <v>#REF!</v>
      </c>
    </row>
    <row r="64" spans="1:7" ht="30" hidden="1" customHeight="1" outlineLevel="1" x14ac:dyDescent="0.25">
      <c r="B64" s="6" t="s">
        <v>117</v>
      </c>
      <c r="C64" s="18">
        <v>1.0409999999999999</v>
      </c>
      <c r="D64" s="17"/>
      <c r="E64" s="17"/>
    </row>
    <row r="65" spans="2:5" ht="30" hidden="1" customHeight="1" outlineLevel="1" x14ac:dyDescent="0.25">
      <c r="B65" s="6" t="s">
        <v>118</v>
      </c>
      <c r="C65" s="17"/>
      <c r="D65" s="18">
        <v>1.0429999999999999</v>
      </c>
      <c r="E65" s="17"/>
    </row>
    <row r="66" spans="2:5" ht="30" hidden="1" customHeight="1" outlineLevel="1" x14ac:dyDescent="0.25">
      <c r="B66" s="6" t="s">
        <v>119</v>
      </c>
      <c r="C66" s="17"/>
      <c r="D66" s="17"/>
      <c r="E66" s="18">
        <v>1.042</v>
      </c>
    </row>
    <row r="67" spans="2:5" ht="30" customHeight="1" collapsed="1" x14ac:dyDescent="0.25"/>
  </sheetData>
  <mergeCells count="7">
    <mergeCell ref="G6:G7"/>
    <mergeCell ref="A3:F3"/>
    <mergeCell ref="A4:F4"/>
    <mergeCell ref="A6:A7"/>
    <mergeCell ref="B6:B7"/>
    <mergeCell ref="C6:E6"/>
    <mergeCell ref="F6:F7"/>
  </mergeCells>
  <pageMargins left="0.35" right="0.28000000000000003" top="0.28000000000000003" bottom="0.27" header="0.24" footer="0.2"/>
  <pageSetup paperSize="9" scale="44" fitToHeight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Норматив с целевыми статьями</vt:lpstr>
      <vt:lpstr>'Норматив с целевыми статьями'!Область_печати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2020-06-16T10:46:59Z</dcterms:modified>
</cp:coreProperties>
</file>